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.№6,в т.ч.Германия" sheetId="8" r:id="rId8"/>
    <sheet name="справка №6 в т.ч. Испания" sheetId="9" r:id="rId9"/>
    <sheet name="справка №6 в т.ч.Румъния" sheetId="10" r:id="rId10"/>
    <sheet name="справка №7" sheetId="11" r:id="rId11"/>
    <sheet name="справка №8" sheetId="12" r:id="rId12"/>
  </sheets>
  <externalReferences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<sst xmlns="http://schemas.openxmlformats.org/spreadsheetml/2006/main" count="1881" uniqueCount="883">
  <si>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</si>
  <si>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</si>
  <si>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</si>
  <si>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</si>
  <si>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</si>
  <si>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</si>
  <si>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</si>
  <si>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</si>
  <si>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</si>
  <si>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</si>
  <si>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</si>
  <si>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</si>
  <si>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</si>
  <si>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</si>
  <si>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</si>
  <si>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</si>
  <si>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</si>
  <si>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</si>
  <si>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</si>
  <si>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</si>
  <si>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</si>
  <si>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</si>
  <si>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</si>
  <si>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</si>
  <si>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</si>
  <si>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</si>
  <si>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</si>
  <si>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</si>
  <si>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</si>
  <si>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</si>
  <si>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</si>
  <si>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</si>
  <si>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</si>
  <si>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</si>
  <si>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</si>
  <si>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</si>
  <si>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</si>
  <si>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</si>
  <si>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</si>
  <si>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</si>
  <si>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</si>
  <si>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</si>
  <si>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</si>
  <si>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</si>
  <si>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</si>
  <si>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</si>
  <si>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</si>
  <si>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</si>
  <si>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</si>
  <si>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</si>
  <si>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</si>
  <si>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</si>
  <si>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</si>
  <si>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</si>
  <si>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</si>
  <si>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</si>
  <si>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</si>
  <si>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</si>
  <si>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</si>
  <si>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</si>
  <si>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</si>
  <si>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</si>
  <si>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</si>
  <si>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</si>
  <si>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</si>
  <si>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</si>
  <si>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</si>
  <si>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</si>
  <si>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</si>
  <si>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</si>
  <si>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</si>
  <si>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</si>
  <si>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</si>
  <si>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</si>
  <si>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</si>
  <si>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</si>
  <si>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</si>
  <si>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</si>
  <si>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</si>
  <si>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</si>
  <si>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</si>
  <si>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</si>
  <si>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</si>
  <si>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</si>
  <si>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</si>
  <si>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</si>
  <si>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</si>
  <si>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</si>
  <si>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</si>
  <si>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</si>
  <si>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</si>
  <si>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</si>
  <si>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</si>
  <si>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</si>
  <si>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</si>
  <si>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</si>
  <si>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</si>
  <si>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</si>
  <si>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</si>
  <si>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</si>
  <si>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</si>
  <si>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</si>
  <si>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</si>
  <si>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</si>
  <si>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</si>
  <si>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</si>
  <si>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</si>
  <si>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</si>
  <si>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</si>
  <si>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</si>
  <si>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</si>
  <si>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</si>
  <si>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</si>
  <si>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</si>
  <si>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</si>
  <si>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</si>
  <si>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</si>
  <si>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</si>
  <si>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</si>
  <si>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</si>
  <si>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</si>
  <si>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</si>
  <si>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</si>
  <si>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</si>
  <si>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</si>
  <si>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</si>
  <si>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</si>
  <si>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</si>
  <si>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</si>
  <si>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</si>
  <si>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</si>
  <si>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</si>
  <si>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</si>
  <si>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</si>
  <si>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</si>
  <si>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</si>
  <si>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</si>
  <si>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</si>
  <si>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</si>
  <si>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</si>
  <si>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</si>
  <si>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</si>
  <si>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</si>
  <si>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</si>
  <si>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</si>
  <si>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</si>
  <si>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</si>
  <si>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</si>
  <si>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</si>
  <si>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</si>
  <si>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</si>
  <si>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</si>
  <si>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</si>
  <si>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</si>
  <si>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</si>
  <si>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</si>
  <si>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</si>
  <si>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</si>
  <si>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</si>
  <si>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</si>
  <si>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</si>
  <si>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</si>
  <si>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</si>
  <si>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</si>
  <si>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</si>
  <si>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</si>
  <si>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</si>
  <si>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</si>
  <si>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</si>
  <si>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</si>
  <si>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</si>
  <si>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</si>
  <si>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</si>
  <si>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</si>
  <si>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</si>
  <si>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</si>
  <si>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</si>
  <si>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</si>
  <si>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</si>
  <si>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</si>
  <si>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</si>
  <si>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</si>
  <si>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</si>
  <si>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</si>
  <si>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</si>
  <si>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</si>
  <si>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</si>
  <si>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</si>
  <si>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</si>
  <si>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</si>
  <si>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</si>
  <si>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</si>
  <si>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</si>
  <si>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</si>
  <si>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</si>
  <si>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</si>
  <si>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</si>
  <si>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</si>
  <si>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</si>
  <si>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</si>
  <si>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</si>
  <si>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</si>
  <si>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</si>
  <si>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</si>
  <si>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</si>
  <si>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</si>
  <si>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</si>
  <si>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</si>
  <si>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</si>
  <si>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</si>
  <si>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</si>
  <si>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</si>
  <si>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</si>
  <si>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</si>
  <si>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</si>
  <si>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</si>
  <si>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</si>
  <si>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</si>
  <si>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</si>
  <si>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</si>
  <si>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</si>
  <si>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</si>
  <si>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</si>
  <si>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</si>
  <si>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</si>
  <si>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</si>
  <si>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</si>
  <si>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</si>
  <si>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</si>
  <si>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</si>
  <si>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</si>
  <si>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</si>
  <si>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</si>
  <si>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</si>
  <si>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</si>
  <si>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</si>
  <si>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</si>
  <si>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</si>
  <si>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</si>
  <si>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</si>
  <si>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</si>
  <si>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</si>
  <si>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</si>
  <si>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</si>
  <si>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</si>
  <si>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</si>
  <si>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</si>
  <si>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</si>
  <si>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</si>
  <si>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</si>
  <si>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</si>
  <si>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</si>
  <si>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</si>
  <si>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</si>
  <si>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</si>
  <si>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</si>
  <si>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</si>
  <si>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</si>
  <si>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</si>
  <si>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</si>
  <si>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</si>
  <si>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</si>
  <si>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</si>
  <si>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</si>
  <si>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</si>
  <si>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</si>
  <si>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</si>
  <si>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</si>
  <si>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</si>
  <si>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</si>
  <si>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</si>
  <si>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</si>
  <si>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</si>
  <si>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</si>
  <si>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</si>
  <si>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</si>
  <si>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</si>
  <si>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</si>
  <si>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</si>
  <si>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</si>
  <si>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</si>
  <si>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</si>
  <si>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</si>
  <si>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</si>
  <si>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</si>
  <si>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</si>
  <si>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</si>
  <si>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</si>
  <si>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</si>
  <si>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</si>
  <si>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</si>
  <si>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</si>
  <si>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</si>
  <si>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</si>
  <si>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</si>
  <si>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</si>
  <si>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</si>
  <si>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</si>
  <si>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</si>
  <si>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</si>
  <si>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</si>
  <si>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</si>
  <si>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</si>
  <si>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</si>
  <si>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</si>
  <si>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</si>
  <si>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</si>
  <si>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</si>
  <si>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</si>
  <si>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</si>
  <si>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</si>
  <si>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</si>
  <si>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</si>
  <si>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</si>
  <si>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</si>
  <si>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</si>
  <si>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</si>
  <si>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</si>
  <si>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</si>
  <si>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</si>
  <si>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</si>
  <si>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</si>
  <si>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</si>
  <si>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</si>
  <si>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</si>
  <si>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</si>
  <si>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</si>
  <si>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</si>
  <si>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</si>
  <si>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</si>
  <si>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</si>
  <si>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</si>
  <si>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</si>
  <si>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</si>
  <si>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</si>
  <si>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</si>
  <si>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</si>
  <si>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</si>
  <si>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</si>
  <si>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</si>
  <si>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</si>
  <si>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</si>
  <si>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</si>
  <si>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</si>
  <si>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</si>
  <si>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</si>
  <si>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</si>
  <si>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</si>
  <si>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</si>
  <si>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</si>
  <si>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</si>
  <si>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</si>
  <si>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</si>
  <si>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</si>
  <si>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</si>
  <si>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</si>
  <si>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</si>
  <si>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</si>
  <si>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</si>
  <si>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</si>
  <si>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</si>
  <si>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</si>
  <si>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</si>
  <si>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</si>
  <si>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</si>
  <si>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</si>
  <si>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</si>
  <si>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</si>
  <si>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</si>
  <si>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</si>
  <si>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</si>
  <si>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</si>
  <si>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</si>
  <si>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</si>
  <si>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</si>
  <si>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</si>
  <si>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</si>
  <si>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</si>
  <si>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</si>
  <si>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</si>
  <si>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</si>
  <si>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</si>
  <si>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</si>
  <si>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</si>
  <si>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</si>
  <si>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</si>
  <si>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</si>
  <si>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</si>
  <si>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</si>
  <si>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</si>
  <si>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</si>
  <si>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</si>
  <si>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</si>
  <si>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</si>
  <si>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</si>
  <si>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</si>
  <si>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</si>
  <si>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</si>
  <si>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</si>
  <si>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</si>
  <si>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</si>
  <si>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</si>
  <si>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</si>
  <si>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</si>
  <si>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</si>
  <si>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</si>
  <si>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</si>
  <si>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</si>
  <si>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</si>
  <si>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</si>
  <si>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</si>
  <si>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</si>
  <si>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</si>
  <si>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</si>
  <si>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</si>
  <si>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</si>
  <si>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</si>
  <si>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</si>
  <si>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</si>
  <si>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</si>
  <si>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</si>
  <si>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</si>
  <si>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</si>
  <si>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</si>
  <si>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</si>
  <si>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</si>
  <si>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</si>
  <si>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</si>
  <si>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</si>
  <si>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</si>
  <si>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</si>
  <si>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</si>
  <si>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</si>
  <si>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</si>
  <si>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</si>
  <si>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</si>
  <si>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</si>
  <si>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</si>
  <si>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</si>
  <si>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</si>
  <si>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</si>
  <si>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</si>
  <si>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</si>
  <si>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</si>
  <si>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</si>
  <si>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</si>
  <si>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</si>
  <si>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</si>
  <si>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</si>
  <si>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</si>
  <si>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</si>
  <si>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</si>
  <si>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</si>
  <si>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</si>
  <si>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</si>
  <si>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</si>
  <si>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</si>
  <si>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</si>
  <si>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</si>
  <si>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</si>
  <si>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</si>
  <si>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</si>
  <si>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</si>
  <si>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</si>
  <si>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</si>
  <si>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</si>
  <si>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</si>
  <si>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</si>
  <si>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</si>
  <si>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</si>
  <si>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</si>
  <si>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</si>
  <si>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</si>
  <si>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</si>
  <si>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</si>
  <si>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</si>
  <si>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</si>
  <si>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</si>
  <si>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</si>
  <si>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</si>
  <si>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</si>
  <si>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</si>
  <si>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</si>
  <si>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</si>
  <si>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</si>
  <si>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</si>
  <si>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</si>
  <si>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</si>
  <si>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</si>
  <si>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</si>
  <si>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</si>
  <si>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</si>
  <si>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</si>
  <si>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</si>
  <si>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</si>
  <si>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</si>
  <si>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</si>
  <si>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</si>
  <si>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</si>
  <si>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</si>
  <si>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</si>
  <si>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</si>
  <si>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</si>
  <si>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</si>
  <si>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</si>
  <si>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</si>
  <si>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</si>
  <si>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</si>
  <si>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</si>
  <si>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</si>
  <si>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</si>
  <si>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</si>
  <si>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</si>
  <si>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</si>
  <si>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</si>
  <si>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</si>
  <si>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</si>
  <si>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</si>
  <si>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</si>
  <si>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</si>
  <si>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</si>
  <si>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</si>
  <si>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</si>
  <si>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</si>
  <si>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</si>
  <si>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</si>
  <si>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</si>
  <si>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</si>
  <si>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</si>
  <si>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</si>
  <si>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</si>
  <si>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</si>
  <si>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</si>
  <si>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</si>
  <si>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</si>
  <si>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</si>
  <si>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</si>
  <si>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</si>
  <si>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</si>
  <si>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</si>
  <si>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</si>
  <si>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</si>
  <si>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</si>
  <si>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</si>
  <si>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</si>
  <si>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</si>
  <si>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</si>
  <si>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</si>
  <si>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</si>
  <si>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</si>
  <si>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</si>
  <si>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</si>
  <si>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</si>
  <si>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</si>
  <si>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</si>
  <si>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</si>
  <si>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</si>
  <si>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</si>
  <si>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</si>
  <si>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</si>
  <si>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</si>
  <si>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</si>
  <si>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</si>
  <si>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</si>
  <si>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</si>
  <si>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</si>
  <si>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</si>
  <si>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</si>
  <si>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</si>
  <si>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</si>
  <si>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</si>
  <si>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</si>
  <si>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</si>
  <si>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</si>
  <si>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</si>
  <si>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</si>
  <si>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</si>
  <si>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</si>
  <si>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</si>
  <si>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</si>
  <si>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</si>
  <si>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</si>
  <si>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</si>
  <si>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</si>
  <si>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</si>
  <si>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</si>
  <si>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</si>
  <si>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</si>
  <si>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</si>
  <si>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</si>
  <si>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</si>
  <si>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</si>
  <si>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</si>
  <si>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</si>
  <si>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</si>
  <si>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</si>
  <si>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</si>
  <si>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</si>
  <si>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</si>
  <si>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</si>
  <si>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</si>
  <si>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</si>
  <si>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</si>
  <si>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</si>
  <si>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</si>
  <si>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</si>
  <si>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</si>
  <si>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</si>
  <si>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</si>
  <si>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</si>
  <si>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</si>
  <si>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</si>
  <si>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</si>
  <si>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</si>
  <si>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</si>
  <si>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</si>
  <si>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</si>
  <si>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</si>
  <si>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</si>
  <si>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</si>
  <si>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</si>
  <si>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</si>
  <si>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</si>
  <si>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</si>
  <si>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</si>
  <si>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</si>
  <si>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</si>
  <si>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</si>
  <si>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</si>
  <si>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</si>
  <si>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</si>
  <si>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</si>
  <si>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</si>
  <si>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</si>
  <si>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</si>
  <si>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</si>
  <si>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</si>
  <si>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</si>
  <si>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</si>
  <si>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</si>
  <si>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</si>
  <si>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</si>
  <si>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</si>
  <si>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</si>
  <si>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</si>
  <si>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</si>
  <si>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</si>
  <si>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</si>
  <si>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</si>
  <si>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</si>
  <si>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</si>
  <si>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</si>
  <si>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</si>
  <si>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</si>
  <si>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</si>
  <si>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</si>
  <si>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</si>
  <si>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</si>
  <si>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</si>
  <si>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</si>
  <si>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</si>
  <si>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</si>
  <si>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</si>
  <si>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</si>
  <si>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</si>
  <si>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</si>
  <si>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</si>
  <si>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</si>
  <si>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</si>
  <si>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</si>
  <si>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</si>
  <si>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</si>
  <si>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</si>
  <si>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</si>
  <si>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</si>
  <si>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</si>
  <si>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</si>
  <si>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</si>
  <si>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</si>
  <si>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</si>
  <si>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</si>
  <si>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</si>
  <si>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</si>
  <si>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</si>
  <si>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</si>
  <si>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</si>
  <si>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</si>
  <si>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</si>
  <si>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</si>
  <si>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</si>
  <si>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</si>
  <si>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</si>
  <si>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</si>
  <si>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</si>
  <si>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</si>
  <si>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</si>
  <si>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</si>
  <si>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</si>
  <si>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</si>
  <si>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</si>
  <si>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</si>
  <si>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</si>
  <si>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</si>
  <si>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</si>
  <si>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</si>
  <si>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</si>
  <si>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</si>
  <si>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</si>
  <si>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</si>
  <si>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</si>
  <si>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</si>
  <si>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</si>
  <si>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</si>
  <si>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</si>
  <si>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</si>
  <si>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</si>
  <si>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</si>
  <si>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</si>
  <si>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</si>
  <si>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</si>
  <si>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</si>
  <si>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</si>
  <si>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</si>
  <si>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</si>
  <si>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</si>
  <si>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</si>
  <si>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</si>
  <si>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</si>
  <si>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</si>
  <si>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</si>
  <si>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</si>
  <si>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</si>
  <si>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</si>
  <si>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</si>
  <si>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</si>
  <si>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</si>
  <si>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</si>
  <si>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</si>
  <si>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</si>
  <si>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</si>
  <si>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</si>
  <si>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</si>
  <si>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</si>
  <si>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</si>
  <si>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</si>
  <si>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</si>
  <si>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</si>
  <si>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</si>
  <si>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</si>
  <si>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</si>
  <si>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</si>
  <si>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</si>
  <si>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</si>
  <si>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</si>
  <si>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</si>
  <si>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</si>
  <si>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</si>
  <si>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</si>
  <si>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</si>
  <si>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</si>
  <si>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</si>
  <si>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</si>
  <si>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</si>
  <si>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</si>
  <si>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</si>
  <si>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</si>
  <si>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</si>
  <si>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</si>
  <si>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</si>
  <si>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</si>
  <si>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</si>
  <si>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</si>
  <si>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</si>
  <si>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</si>
  <si>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</si>
  <si>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</si>
  <si>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</si>
  <si>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</si>
  <si>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</si>
  <si>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</si>
  <si>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</si>
  <si>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</si>
  <si>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</si>
  <si>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</si>
  <si>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</si>
  <si>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</si>
  <si>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</si>
  <si>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</si>
  <si>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</si>
  <si>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</si>
  <si>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</si>
  <si>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</si>
  <si>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</si>
  <si>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</si>
  <si>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</si>
  <si>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</si>
  <si>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</si>
  <si>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</si>
  <si>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</si>
  <si>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</si>
  <si>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</si>
  <si>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</si>
  <si>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</si>
  <si>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</si>
  <si>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</si>
  <si>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</si>
  <si>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</si>
  <si>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</si>
  <si>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</si>
  <si>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</si>
  <si>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</si>
  <si>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</si>
  <si>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</si>
  <si>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</si>
  <si>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</si>
  <si>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</si>
  <si>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</si>
  <si>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</si>
  <si>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</si>
  <si>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</si>
  <si>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</si>
  <si>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</si>
  <si>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</si>
  <si>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</si>
  <si>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</si>
  <si>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</si>
  <si>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</si>
  <si>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</si>
  <si>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</si>
  <si>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</si>
  <si>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</si>
  <si>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</si>
  <si>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</si>
  <si>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</si>
  <si>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</si>
  <si>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</si>
  <si>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</si>
  <si>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</si>
  <si>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</si>
  <si>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</si>
  <si>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</si>
  <si>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</si>
  <si>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</si>
  <si>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</si>
  <si>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</si>
  <si>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</si>
  <si>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</si>
  <si>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</si>
  <si>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</si>
  <si>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</si>
  <si>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</si>
  <si>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</si>
  <si>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</si>
  <si>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</si>
  <si>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</si>
  <si>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</si>
  <si>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</si>
  <si>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</si>
  <si>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</si>
  <si>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</si>
  <si>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</si>
  <si>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</si>
  <si>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</si>
  <si>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</si>
  <si>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</si>
  <si>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</si>
  <si>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</si>
  <si>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</si>
  <si>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</si>
  <si>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>01.01.2013-30.06.2013</t>
  </si>
  <si>
    <t>Съставител:Евелина Миленска</t>
  </si>
  <si>
    <t>Ръководител:Бойко Недялков</t>
  </si>
  <si>
    <t xml:space="preserve">А. ВЗЕМАНИЯ              Германия           </t>
  </si>
  <si>
    <t>Б. ЗАДЪЛЖЕНИЯ към Германия</t>
  </si>
  <si>
    <t xml:space="preserve">А. ВЗЕМАНИЯ        от Румъния                          </t>
  </si>
  <si>
    <t>Б. ЗАДЪЛЖЕНИЯ - Румъния</t>
  </si>
  <si>
    <t>01.01.2014-30.09.2014</t>
  </si>
  <si>
    <t>14.10.2014 г.</t>
  </si>
  <si>
    <t>Дата на съставяне: 14.10.2014 г.</t>
  </si>
  <si>
    <t xml:space="preserve">Дата на съставяне:14.10.2014 г.                                       </t>
  </si>
  <si>
    <t xml:space="preserve">Дата  на съставяне: 14.10.2014  г.                                                                                                                          </t>
  </si>
  <si>
    <t xml:space="preserve">Дата на съставяне:14.10.2014 г.             </t>
  </si>
  <si>
    <t>Дата на съставяне:14.10.2014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</si>
</sst>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24">
      <selection activeCell="A40" sqref="A4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>
        <v>819363984</v>
      </c>
    </row>
    <row r="4" spans="1:8" ht="1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159</v>
      </c>
    </row>
    <row r="5" spans="1:8" ht="15">
      <c r="A5" s="593" t="s">
        <v>5</v>
      </c>
      <c r="B5" s="594"/>
      <c r="C5" s="594"/>
      <c r="D5" s="594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5">
      <c r="A12" s="235" t="s">
        <v>24</v>
      </c>
      <c r="B12" s="241" t="s">
        <v>25</v>
      </c>
      <c r="C12" s="151">
        <v>1200</v>
      </c>
      <c r="D12" s="151">
        <v>1245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5">
      <c r="A13" s="235" t="s">
        <v>28</v>
      </c>
      <c r="B13" s="241" t="s">
        <v>29</v>
      </c>
      <c r="C13" s="151">
        <v>3334</v>
      </c>
      <c r="D13" s="151">
        <v>3720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130</v>
      </c>
      <c r="D14" s="151">
        <v>98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100</v>
      </c>
      <c r="D15" s="151">
        <v>38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f>64+20</f>
        <v>84</v>
      </c>
      <c r="D16" s="151">
        <f>42+22</f>
        <v>64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21</v>
      </c>
      <c r="D17" s="151">
        <v>14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5199</v>
      </c>
      <c r="D19" s="155">
        <f>SUM(D11:D18)</f>
        <v>5509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11</v>
      </c>
      <c r="D24" s="151">
        <v>28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28</v>
      </c>
      <c r="E27" s="253" t="s">
        <v>83</v>
      </c>
      <c r="F27" s="242" t="s">
        <v>84</v>
      </c>
      <c r="G27" s="154">
        <f>SUM(G28:G30)</f>
        <v>700</v>
      </c>
      <c r="H27" s="154">
        <f>SUM(H28:H30)</f>
        <v>701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1141</v>
      </c>
      <c r="H28" s="152">
        <v>1142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340</v>
      </c>
      <c r="H31" s="152">
        <v>72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1040</v>
      </c>
      <c r="H33" s="154">
        <f>H27+H31+H32</f>
        <v>773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5686</v>
      </c>
      <c r="H36" s="154">
        <f>H25+H17+H33</f>
        <v>5419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5</v>
      </c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1108-54</f>
        <v>1054</v>
      </c>
      <c r="H44" s="152">
        <f>2259-71</f>
        <v>2188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59-5</f>
        <v>54</v>
      </c>
      <c r="H48" s="152">
        <f>44-16</f>
        <v>28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1113</v>
      </c>
      <c r="H49" s="154">
        <f>SUM(H43:H48)</f>
        <v>2216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60</v>
      </c>
      <c r="H53" s="152">
        <v>68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1649</v>
      </c>
      <c r="H54" s="152">
        <v>944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5210</v>
      </c>
      <c r="D55" s="155">
        <f>D19+D20+D21+D27+D32+D45+D51+D53+D54</f>
        <v>5537</v>
      </c>
      <c r="E55" s="237" t="s">
        <v>172</v>
      </c>
      <c r="F55" s="261" t="s">
        <v>173</v>
      </c>
      <c r="G55" s="154">
        <f>G49+G51+G52+G53+G54</f>
        <v>2822</v>
      </c>
      <c r="H55" s="154">
        <f>H49+H51+H52+H53+H54</f>
        <v>3228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1381</v>
      </c>
      <c r="D58" s="151">
        <v>1241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366</v>
      </c>
      <c r="D59" s="151">
        <v>403</v>
      </c>
      <c r="E59" s="251" t="s">
        <v>181</v>
      </c>
      <c r="F59" s="242" t="s">
        <v>182</v>
      </c>
      <c r="G59" s="152">
        <f>839-98</f>
        <v>741</v>
      </c>
      <c r="H59" s="152">
        <f>489+3+311</f>
        <v>803</v>
      </c>
      <c r="M59" s="157"/>
    </row>
    <row r="60" spans="1:8" ht="15">
      <c r="A60" s="235" t="s">
        <v>183</v>
      </c>
      <c r="B60" s="241" t="s">
        <v>184</v>
      </c>
      <c r="C60" s="151">
        <v>604</v>
      </c>
      <c r="D60" s="151">
        <v>627</v>
      </c>
      <c r="E60" s="237" t="s">
        <v>185</v>
      </c>
      <c r="F60" s="242" t="s">
        <v>186</v>
      </c>
      <c r="G60" s="152">
        <f>18*3</f>
        <v>54</v>
      </c>
      <c r="H60" s="152">
        <v>71</v>
      </c>
    </row>
    <row r="61" spans="1:18" ht="15">
      <c r="A61" s="235" t="s">
        <v>187</v>
      </c>
      <c r="B61" s="244" t="s">
        <v>188</v>
      </c>
      <c r="C61" s="151">
        <v>526</v>
      </c>
      <c r="D61" s="151">
        <v>495</v>
      </c>
      <c r="E61" s="243" t="s">
        <v>189</v>
      </c>
      <c r="F61" s="272" t="s">
        <v>190</v>
      </c>
      <c r="G61" s="154">
        <f>SUM(G62:G68)</f>
        <v>3130</v>
      </c>
      <c r="H61" s="154">
        <f>SUM(H62:H68)</f>
        <v>3097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5</v>
      </c>
      <c r="H62" s="152">
        <v>16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98</v>
      </c>
      <c r="H63" s="152">
        <f>98+34</f>
        <v>132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2877</v>
      </c>
      <c r="D64" s="155">
        <f>SUM(D58:D63)</f>
        <v>2766</v>
      </c>
      <c r="E64" s="237" t="s">
        <v>200</v>
      </c>
      <c r="F64" s="242" t="s">
        <v>201</v>
      </c>
      <c r="G64" s="152">
        <f>2829-5</f>
        <v>2824</v>
      </c>
      <c r="H64" s="152">
        <f>2728-17</f>
        <v>2711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</v>
      </c>
      <c r="H65" s="152">
        <v>17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127</v>
      </c>
      <c r="H66" s="152">
        <v>160</v>
      </c>
    </row>
    <row r="67" spans="1:8" ht="15">
      <c r="A67" s="235" t="s">
        <v>207</v>
      </c>
      <c r="B67" s="241" t="s">
        <v>208</v>
      </c>
      <c r="C67" s="151">
        <f>1163+169</f>
        <v>1332</v>
      </c>
      <c r="D67" s="151">
        <f>169+1129</f>
        <v>1298</v>
      </c>
      <c r="E67" s="237" t="s">
        <v>209</v>
      </c>
      <c r="F67" s="242" t="s">
        <v>210</v>
      </c>
      <c r="G67" s="152">
        <v>47</v>
      </c>
      <c r="H67" s="152">
        <v>42</v>
      </c>
    </row>
    <row r="68" spans="1:8" ht="15">
      <c r="A68" s="235" t="s">
        <v>211</v>
      </c>
      <c r="B68" s="241" t="s">
        <v>212</v>
      </c>
      <c r="C68" s="151">
        <f>2834-169-66+11</f>
        <v>2610</v>
      </c>
      <c r="D68" s="151">
        <f>3018-20+11-169</f>
        <v>2840</v>
      </c>
      <c r="E68" s="237" t="s">
        <v>213</v>
      </c>
      <c r="F68" s="242" t="s">
        <v>214</v>
      </c>
      <c r="G68" s="152">
        <v>20</v>
      </c>
      <c r="H68" s="152">
        <v>19</v>
      </c>
    </row>
    <row r="69" spans="1:8" ht="15">
      <c r="A69" s="235" t="s">
        <v>215</v>
      </c>
      <c r="B69" s="241" t="s">
        <v>216</v>
      </c>
      <c r="C69" s="151">
        <v>66</v>
      </c>
      <c r="D69" s="151">
        <v>20</v>
      </c>
      <c r="E69" s="251" t="s">
        <v>78</v>
      </c>
      <c r="F69" s="242" t="s">
        <v>217</v>
      </c>
      <c r="G69" s="152">
        <f>18+4+11+6</f>
        <v>39</v>
      </c>
      <c r="H69" s="152">
        <f>18+3+13+7+91</f>
        <v>132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3964</v>
      </c>
      <c r="H71" s="161">
        <f>H59+H60+H61+H69+H70</f>
        <v>4103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105</v>
      </c>
      <c r="D72" s="151">
        <v>121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11+6+14</f>
        <v>31</v>
      </c>
      <c r="D74" s="151">
        <f>11+1+4</f>
        <v>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4233</v>
      </c>
      <c r="D75" s="155">
        <f>SUM(D67:D74)</f>
        <v>4384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3964</v>
      </c>
      <c r="H79" s="162">
        <f>H71+H74+H75+H76</f>
        <v>4103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132</v>
      </c>
      <c r="D88" s="151">
        <f>6+4+17</f>
        <v>27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15</v>
      </c>
      <c r="D90" s="151">
        <v>35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152</v>
      </c>
      <c r="D91" s="155">
        <f>SUM(D87:D90)</f>
        <v>63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7262</v>
      </c>
      <c r="D93" s="155">
        <f>D64+D75+D84+D91+D92</f>
        <v>7213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12472</v>
      </c>
      <c r="D94" s="164">
        <f>D93+D55</f>
        <v>12750</v>
      </c>
      <c r="E94" s="449" t="s">
        <v>270</v>
      </c>
      <c r="F94" s="289" t="s">
        <v>271</v>
      </c>
      <c r="G94" s="165">
        <f>G36+G39+G55+G79</f>
        <v>12472</v>
      </c>
      <c r="H94" s="165">
        <f>H36+H39+H55+H79</f>
        <v>12750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576"/>
      <c r="H97" s="576"/>
      <c r="M97" s="157"/>
    </row>
    <row r="98" spans="1:13" ht="15">
      <c r="A98" s="45" t="s">
        <v>878</v>
      </c>
      <c r="B98" s="432"/>
      <c r="C98" s="597" t="s">
        <v>381</v>
      </c>
      <c r="D98" s="597"/>
      <c r="E98" s="59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7" t="s">
        <v>781</v>
      </c>
      <c r="D100" s="598"/>
      <c r="E100" s="59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4" sqref="A1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01.01.2014-30.09.2014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874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198</v>
      </c>
      <c r="D28" s="108">
        <v>198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198</v>
      </c>
      <c r="D43" s="104">
        <f>D24+D28+D29+D31+D30+D32+D33+D38</f>
        <v>198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198</v>
      </c>
      <c r="D44" s="103">
        <f>D43+D21+D19+D9</f>
        <v>198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875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20</v>
      </c>
      <c r="D87" s="108">
        <v>20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39" t="str">
        <f>'справка №1-БАЛАНС'!E3</f>
        <v> "Торготерм"АД</v>
      </c>
      <c r="C4" s="639"/>
      <c r="D4" s="639"/>
      <c r="E4" s="639"/>
      <c r="F4" s="639"/>
      <c r="G4" s="645" t="s">
        <v>2</v>
      </c>
      <c r="H4" s="645"/>
      <c r="I4" s="500">
        <f>'справка №1-БАЛАНС'!H3</f>
        <v>819363984</v>
      </c>
    </row>
    <row r="5" spans="1:9" ht="15">
      <c r="A5" s="501" t="s">
        <v>5</v>
      </c>
      <c r="B5" s="640" t="str">
        <f>'справка №1-БАЛАНС'!E5</f>
        <v>01.01.2014-30.09.2014</v>
      </c>
      <c r="C5" s="640"/>
      <c r="D5" s="640"/>
      <c r="E5" s="640"/>
      <c r="F5" s="640"/>
      <c r="G5" s="643" t="s">
        <v>4</v>
      </c>
      <c r="H5" s="64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42"/>
      <c r="C30" s="642"/>
      <c r="D30" s="459" t="s">
        <v>819</v>
      </c>
      <c r="E30" s="641"/>
      <c r="F30" s="641"/>
      <c r="G30" s="641"/>
      <c r="H30" s="420" t="s">
        <v>781</v>
      </c>
      <c r="I30" s="641"/>
      <c r="J30" s="64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8" sqref="B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6" t="str">
        <f>'справка №1-БАЛАНС'!E3</f>
        <v> "Торготерм"АД</v>
      </c>
      <c r="C5" s="646"/>
      <c r="D5" s="646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7" t="str">
        <f>'справка №1-БАЛАНС'!E5</f>
        <v>01.01.2014-30.09.2014</v>
      </c>
      <c r="C6" s="64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48" t="s">
        <v>849</v>
      </c>
      <c r="D151" s="648"/>
      <c r="E151" s="648"/>
      <c r="F151" s="64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8" t="s">
        <v>856</v>
      </c>
      <c r="D153" s="648"/>
      <c r="E153" s="648"/>
      <c r="F153" s="64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C16">
      <selection activeCell="C19" sqref="C1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601" t="str">
        <f>'справка №1-БАЛАНС'!E3</f>
        <v> "Торготерм"АД</v>
      </c>
      <c r="C2" s="601"/>
      <c r="D2" s="601"/>
      <c r="E2" s="601"/>
      <c r="F2" s="603" t="s">
        <v>2</v>
      </c>
      <c r="G2" s="603"/>
      <c r="H2" s="526">
        <f>'справка №1-БАЛАНС'!H3</f>
        <v>819363984</v>
      </c>
    </row>
    <row r="3" spans="1:8" ht="15">
      <c r="A3" s="467" t="s">
        <v>274</v>
      </c>
      <c r="B3" s="601" t="str">
        <f>'справка №1-БАЛАНС'!E4</f>
        <v>неконсолидиран</v>
      </c>
      <c r="C3" s="601"/>
      <c r="D3" s="601"/>
      <c r="E3" s="60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2" t="str">
        <f>'справка №1-БАЛАНС'!E5</f>
        <v>01.01.2014-30.09.2014</v>
      </c>
      <c r="C4" s="602"/>
      <c r="D4" s="60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f>3651+458</f>
        <v>4109</v>
      </c>
      <c r="D9" s="46">
        <f>3472+427</f>
        <v>3899</v>
      </c>
      <c r="E9" s="298" t="s">
        <v>284</v>
      </c>
      <c r="F9" s="549" t="s">
        <v>285</v>
      </c>
      <c r="G9" s="550">
        <v>6495</v>
      </c>
      <c r="H9" s="550">
        <v>5816</v>
      </c>
    </row>
    <row r="10" spans="1:8" ht="12">
      <c r="A10" s="298" t="s">
        <v>286</v>
      </c>
      <c r="B10" s="299" t="s">
        <v>287</v>
      </c>
      <c r="C10" s="46">
        <v>268</v>
      </c>
      <c r="D10" s="46">
        <v>236</v>
      </c>
      <c r="E10" s="298" t="s">
        <v>288</v>
      </c>
      <c r="F10" s="549" t="s">
        <v>289</v>
      </c>
      <c r="G10" s="550">
        <v>156</v>
      </c>
      <c r="H10" s="550">
        <v>207</v>
      </c>
    </row>
    <row r="11" spans="1:8" ht="12">
      <c r="A11" s="298" t="s">
        <v>290</v>
      </c>
      <c r="B11" s="299" t="s">
        <v>291</v>
      </c>
      <c r="C11" s="46">
        <v>524</v>
      </c>
      <c r="D11" s="46">
        <v>385</v>
      </c>
      <c r="E11" s="300" t="s">
        <v>292</v>
      </c>
      <c r="F11" s="549" t="s">
        <v>293</v>
      </c>
      <c r="G11" s="550">
        <v>44</v>
      </c>
      <c r="H11" s="550">
        <v>23</v>
      </c>
    </row>
    <row r="12" spans="1:8" ht="12">
      <c r="A12" s="298" t="s">
        <v>294</v>
      </c>
      <c r="B12" s="299" t="s">
        <v>295</v>
      </c>
      <c r="C12" s="46">
        <v>1608</v>
      </c>
      <c r="D12" s="46">
        <v>1384</v>
      </c>
      <c r="E12" s="300" t="s">
        <v>78</v>
      </c>
      <c r="F12" s="549" t="s">
        <v>296</v>
      </c>
      <c r="G12" s="550">
        <v>131</v>
      </c>
      <c r="H12" s="550">
        <v>80</v>
      </c>
    </row>
    <row r="13" spans="1:18" ht="12">
      <c r="A13" s="298" t="s">
        <v>297</v>
      </c>
      <c r="B13" s="299" t="s">
        <v>298</v>
      </c>
      <c r="C13" s="46">
        <v>201</v>
      </c>
      <c r="D13" s="46">
        <v>177</v>
      </c>
      <c r="E13" s="301" t="s">
        <v>51</v>
      </c>
      <c r="F13" s="551" t="s">
        <v>299</v>
      </c>
      <c r="G13" s="548">
        <f>SUM(G9:G12)</f>
        <v>6826</v>
      </c>
      <c r="H13" s="548">
        <f>SUM(H9:H12)</f>
        <v>6126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165</v>
      </c>
      <c r="D14" s="46">
        <v>188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-47-42-458</f>
        <v>-547</v>
      </c>
      <c r="D15" s="47">
        <f>-39-21-427</f>
        <v>-487</v>
      </c>
      <c r="E15" s="296" t="s">
        <v>304</v>
      </c>
      <c r="F15" s="554" t="s">
        <v>305</v>
      </c>
      <c r="G15" s="550">
        <v>193</v>
      </c>
      <c r="H15" s="550">
        <v>97</v>
      </c>
    </row>
    <row r="16" spans="1:8" ht="12">
      <c r="A16" s="298" t="s">
        <v>306</v>
      </c>
      <c r="B16" s="299" t="s">
        <v>307</v>
      </c>
      <c r="C16" s="47">
        <v>235</v>
      </c>
      <c r="D16" s="47">
        <f>212</f>
        <v>212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6563</v>
      </c>
      <c r="D19" s="49">
        <f>SUM(D9:D15)+D16</f>
        <v>5994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71</v>
      </c>
      <c r="D22" s="46">
        <v>90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11</v>
      </c>
      <c r="D24" s="46">
        <v>6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34</v>
      </c>
      <c r="D25" s="46">
        <v>61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116</v>
      </c>
      <c r="D26" s="49">
        <f>SUM(D22:D25)</f>
        <v>157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6679</v>
      </c>
      <c r="D28" s="50">
        <f>D26+D19</f>
        <v>6151</v>
      </c>
      <c r="E28" s="127" t="s">
        <v>338</v>
      </c>
      <c r="F28" s="554" t="s">
        <v>339</v>
      </c>
      <c r="G28" s="548">
        <f>G13+G15+G24</f>
        <v>7019</v>
      </c>
      <c r="H28" s="548">
        <f>H13+H15+H24</f>
        <v>6223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340</v>
      </c>
      <c r="D30" s="50">
        <f>IF((H28-D28)&gt;0,H28-D28,0)</f>
        <v>72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6679</v>
      </c>
      <c r="D33" s="49">
        <f>D28-D31+D32</f>
        <v>6151</v>
      </c>
      <c r="E33" s="127" t="s">
        <v>352</v>
      </c>
      <c r="F33" s="554" t="s">
        <v>353</v>
      </c>
      <c r="G33" s="53">
        <f>G32-G31+G28</f>
        <v>7019</v>
      </c>
      <c r="H33" s="53">
        <f>H32-H31+H28</f>
        <v>6223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340</v>
      </c>
      <c r="D34" s="50">
        <f>IF((H33-D33)&gt;0,H33-D33,0)</f>
        <v>72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340</v>
      </c>
      <c r="D39" s="460">
        <f>+IF((H33-D33-D35)&gt;0,H33-D33-D35,0)</f>
        <v>72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340</v>
      </c>
      <c r="D41" s="52">
        <f>IF(H39=0,IF(D39-D40&gt;0,D39-D40+H40,0),IF(H39-H40&lt;0,H40-H39+D39,0))</f>
        <v>72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7019</v>
      </c>
      <c r="D42" s="53">
        <f>D33+D35+D39</f>
        <v>6223</v>
      </c>
      <c r="E42" s="128" t="s">
        <v>379</v>
      </c>
      <c r="F42" s="129" t="s">
        <v>380</v>
      </c>
      <c r="G42" s="53">
        <f>G39+G33</f>
        <v>7019</v>
      </c>
      <c r="H42" s="53">
        <f>H39+H33</f>
        <v>6223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877</v>
      </c>
      <c r="C48" s="427" t="s">
        <v>381</v>
      </c>
      <c r="D48" s="600"/>
      <c r="E48" s="600"/>
      <c r="F48" s="600"/>
      <c r="G48" s="600"/>
      <c r="H48" s="60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0"/>
      <c r="E50" s="600"/>
      <c r="F50" s="600"/>
      <c r="G50" s="600"/>
      <c r="H50" s="60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16" sqref="A1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01.01.2014-30.09.2014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7187</v>
      </c>
      <c r="D10" s="54">
        <v>6048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-6013+34+252</f>
        <v>-5727</v>
      </c>
      <c r="D11" s="575">
        <f>-7038+22+2086</f>
        <v>-4930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-848</v>
      </c>
      <c r="D13" s="575">
        <v>-799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279</v>
      </c>
      <c r="D14" s="575">
        <v>305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f>-15-24</f>
        <v>-39</v>
      </c>
      <c r="D17" s="575">
        <v>-24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/>
      <c r="D18" s="575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-179</v>
      </c>
      <c r="D19" s="575">
        <v>-229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673</v>
      </c>
      <c r="D20" s="55">
        <f>SUM(D10:D19)</f>
        <v>366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-252</v>
      </c>
      <c r="D22" s="575">
        <v>-2086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-252</v>
      </c>
      <c r="D32" s="55">
        <f>SUM(D22:D31)</f>
        <v>-2086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56</v>
      </c>
      <c r="D36" s="54">
        <v>2638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-265</v>
      </c>
      <c r="D37" s="575">
        <v>-1000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-34</v>
      </c>
      <c r="D38" s="575">
        <v>-22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f>-68+24</f>
        <v>-44</v>
      </c>
      <c r="D39" s="575">
        <v>-63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-8</v>
      </c>
      <c r="D41" s="575">
        <v>204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-295</v>
      </c>
      <c r="D42" s="55">
        <f>SUM(D34:D41)</f>
        <v>1757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126</v>
      </c>
      <c r="D43" s="55">
        <f>D42+D32+D20</f>
        <v>37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152</v>
      </c>
      <c r="D45" s="55">
        <f>D44+D43</f>
        <v>63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152</v>
      </c>
      <c r="D46" s="56">
        <v>63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2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8" t="str">
        <f>'справка №1-БАЛАНС'!E3</f>
        <v> "Торготерм"АД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8" t="str">
        <f>'справка №1-БАЛАНС'!E4</f>
        <v>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2" t="str">
        <f>'справка №1-БАЛАНС'!E5</f>
        <v>01.01.2014-30.09.2014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1214</v>
      </c>
      <c r="J11" s="58">
        <f>'справка №1-БАЛАНС'!H29+'справка №1-БАЛАНС'!H32</f>
        <v>-441</v>
      </c>
      <c r="K11" s="60"/>
      <c r="L11" s="344">
        <f>SUM(C11:K11)</f>
        <v>5419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1214</v>
      </c>
      <c r="J15" s="61">
        <f t="shared" si="2"/>
        <v>-441</v>
      </c>
      <c r="K15" s="61">
        <f t="shared" si="2"/>
        <v>0</v>
      </c>
      <c r="L15" s="344">
        <f t="shared" si="1"/>
        <v>5419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340</v>
      </c>
      <c r="J16" s="345">
        <f>+'справка №1-БАЛАНС'!G32</f>
        <v>0</v>
      </c>
      <c r="K16" s="60"/>
      <c r="L16" s="344">
        <f t="shared" si="1"/>
        <v>340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-73</v>
      </c>
      <c r="J28" s="60"/>
      <c r="K28" s="60"/>
      <c r="L28" s="344">
        <f t="shared" si="1"/>
        <v>-73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1481</v>
      </c>
      <c r="J29" s="59">
        <f t="shared" si="6"/>
        <v>-441</v>
      </c>
      <c r="K29" s="59">
        <f t="shared" si="6"/>
        <v>0</v>
      </c>
      <c r="L29" s="344">
        <f t="shared" si="1"/>
        <v>5686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1481</v>
      </c>
      <c r="J32" s="59">
        <f t="shared" si="7"/>
        <v>-441</v>
      </c>
      <c r="K32" s="59">
        <f t="shared" si="7"/>
        <v>0</v>
      </c>
      <c r="L32" s="344">
        <f t="shared" si="1"/>
        <v>5686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07" t="s">
        <v>521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D14" sqref="D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3" t="s">
        <v>383</v>
      </c>
      <c r="B2" s="614"/>
      <c r="C2" s="615" t="str">
        <f>'справка №1-БАЛАНС'!E3</f>
        <v> "Торготерм"АД</v>
      </c>
      <c r="D2" s="615"/>
      <c r="E2" s="615"/>
      <c r="F2" s="615"/>
      <c r="G2" s="615"/>
      <c r="H2" s="61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5">
      <c r="A3" s="613" t="s">
        <v>5</v>
      </c>
      <c r="B3" s="614"/>
      <c r="C3" s="616" t="str">
        <f>'справка №1-БАЛАНС'!E5</f>
        <v>01.01.2014-30.09.2014</v>
      </c>
      <c r="D3" s="616"/>
      <c r="E3" s="616"/>
      <c r="F3" s="485"/>
      <c r="G3" s="485"/>
      <c r="H3" s="485"/>
      <c r="I3" s="485"/>
      <c r="J3" s="485"/>
      <c r="K3" s="485"/>
      <c r="L3" s="485"/>
      <c r="M3" s="621" t="s">
        <v>4</v>
      </c>
      <c r="N3" s="62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2" t="s">
        <v>463</v>
      </c>
      <c r="B5" s="623"/>
      <c r="C5" s="62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9" t="s">
        <v>529</v>
      </c>
      <c r="R5" s="619" t="s">
        <v>530</v>
      </c>
    </row>
    <row r="6" spans="1:18" s="100" customFormat="1" ht="48">
      <c r="A6" s="624"/>
      <c r="B6" s="625"/>
      <c r="C6" s="62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0"/>
      <c r="R6" s="62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1843</v>
      </c>
      <c r="E10" s="189">
        <v>5</v>
      </c>
      <c r="F10" s="189">
        <v>5</v>
      </c>
      <c r="G10" s="74">
        <f aca="true" t="shared" si="2" ref="G10:G39">D10+E10-F10</f>
        <v>1843</v>
      </c>
      <c r="H10" s="65"/>
      <c r="I10" s="65"/>
      <c r="J10" s="74">
        <f aca="true" t="shared" si="3" ref="J10:J39">G10+H10-I10</f>
        <v>1843</v>
      </c>
      <c r="K10" s="65">
        <v>593</v>
      </c>
      <c r="L10" s="65">
        <v>55</v>
      </c>
      <c r="M10" s="65">
        <v>5</v>
      </c>
      <c r="N10" s="74">
        <f aca="true" t="shared" si="4" ref="N10:N39">K10+L10-M10</f>
        <v>643</v>
      </c>
      <c r="O10" s="65"/>
      <c r="P10" s="65"/>
      <c r="Q10" s="74">
        <f t="shared" si="0"/>
        <v>643</v>
      </c>
      <c r="R10" s="74">
        <f t="shared" si="1"/>
        <v>1200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5018+2016+1953</f>
        <v>8987</v>
      </c>
      <c r="E11" s="189">
        <v>124</v>
      </c>
      <c r="F11" s="189">
        <v>40</v>
      </c>
      <c r="G11" s="74">
        <f t="shared" si="2"/>
        <v>9071</v>
      </c>
      <c r="H11" s="65"/>
      <c r="I11" s="65"/>
      <c r="J11" s="74">
        <f t="shared" si="3"/>
        <v>9071</v>
      </c>
      <c r="K11" s="65">
        <v>5375</v>
      </c>
      <c r="L11" s="65">
        <v>403</v>
      </c>
      <c r="M11" s="65">
        <v>41</v>
      </c>
      <c r="N11" s="74">
        <f t="shared" si="4"/>
        <v>5737</v>
      </c>
      <c r="O11" s="65"/>
      <c r="P11" s="65"/>
      <c r="Q11" s="74">
        <f t="shared" si="0"/>
        <v>5737</v>
      </c>
      <c r="R11" s="74">
        <f t="shared" si="1"/>
        <v>3334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/>
      <c r="F12" s="189"/>
      <c r="G12" s="74">
        <f t="shared" si="2"/>
        <v>381</v>
      </c>
      <c r="H12" s="65"/>
      <c r="I12" s="65"/>
      <c r="J12" s="74">
        <f t="shared" si="3"/>
        <v>381</v>
      </c>
      <c r="K12" s="65">
        <v>238</v>
      </c>
      <c r="L12" s="65">
        <v>13</v>
      </c>
      <c r="M12" s="65"/>
      <c r="N12" s="74">
        <f t="shared" si="4"/>
        <v>251</v>
      </c>
      <c r="O12" s="65"/>
      <c r="P12" s="65"/>
      <c r="Q12" s="74">
        <f t="shared" si="0"/>
        <v>251</v>
      </c>
      <c r="R12" s="74">
        <f t="shared" si="1"/>
        <v>130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191</v>
      </c>
      <c r="E13" s="189">
        <v>79</v>
      </c>
      <c r="F13" s="189"/>
      <c r="G13" s="74">
        <f t="shared" si="2"/>
        <v>270</v>
      </c>
      <c r="H13" s="65"/>
      <c r="I13" s="65"/>
      <c r="J13" s="74">
        <f t="shared" si="3"/>
        <v>270</v>
      </c>
      <c r="K13" s="65">
        <v>156</v>
      </c>
      <c r="L13" s="65">
        <v>14</v>
      </c>
      <c r="M13" s="65"/>
      <c r="N13" s="74">
        <f t="shared" si="4"/>
        <v>170</v>
      </c>
      <c r="O13" s="65"/>
      <c r="P13" s="65"/>
      <c r="Q13" s="74">
        <f t="shared" si="0"/>
        <v>170</v>
      </c>
      <c r="R13" s="74">
        <f t="shared" si="1"/>
        <v>100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149+237+194</f>
        <v>580</v>
      </c>
      <c r="E14" s="189">
        <f>33+5+6</f>
        <v>44</v>
      </c>
      <c r="F14" s="189">
        <f>37+7+15</f>
        <v>59</v>
      </c>
      <c r="G14" s="74">
        <f t="shared" si="2"/>
        <v>565</v>
      </c>
      <c r="H14" s="65"/>
      <c r="I14" s="65"/>
      <c r="J14" s="74">
        <f t="shared" si="3"/>
        <v>565</v>
      </c>
      <c r="K14" s="65">
        <f>131+210+173</f>
        <v>514</v>
      </c>
      <c r="L14" s="65">
        <f>8+12+6</f>
        <v>26</v>
      </c>
      <c r="M14" s="65">
        <f>37+7+15</f>
        <v>59</v>
      </c>
      <c r="N14" s="74">
        <f t="shared" si="4"/>
        <v>481</v>
      </c>
      <c r="O14" s="65"/>
      <c r="P14" s="65"/>
      <c r="Q14" s="74">
        <f t="shared" si="0"/>
        <v>481</v>
      </c>
      <c r="R14" s="74">
        <f t="shared" si="1"/>
        <v>84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</v>
      </c>
      <c r="E15" s="457">
        <v>47</v>
      </c>
      <c r="F15" s="457">
        <v>28</v>
      </c>
      <c r="G15" s="74">
        <f t="shared" si="2"/>
        <v>21</v>
      </c>
      <c r="H15" s="458"/>
      <c r="I15" s="458"/>
      <c r="J15" s="74">
        <f t="shared" si="3"/>
        <v>21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21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12314</v>
      </c>
      <c r="E17" s="194">
        <f>SUM(E9:E16)</f>
        <v>299</v>
      </c>
      <c r="F17" s="194">
        <f>SUM(F9:F16)</f>
        <v>132</v>
      </c>
      <c r="G17" s="74">
        <f t="shared" si="2"/>
        <v>12481</v>
      </c>
      <c r="H17" s="75">
        <f>SUM(H9:H16)</f>
        <v>0</v>
      </c>
      <c r="I17" s="75">
        <f>SUM(I9:I16)</f>
        <v>0</v>
      </c>
      <c r="J17" s="74">
        <f t="shared" si="3"/>
        <v>12481</v>
      </c>
      <c r="K17" s="75">
        <f>SUM(K9:K16)</f>
        <v>6876</v>
      </c>
      <c r="L17" s="75">
        <f>SUM(L9:L16)</f>
        <v>511</v>
      </c>
      <c r="M17" s="75">
        <f>SUM(M9:M16)</f>
        <v>105</v>
      </c>
      <c r="N17" s="74">
        <f t="shared" si="4"/>
        <v>7282</v>
      </c>
      <c r="O17" s="75">
        <f>SUM(O9:O16)</f>
        <v>0</v>
      </c>
      <c r="P17" s="75">
        <f>SUM(P9:P16)</f>
        <v>0</v>
      </c>
      <c r="Q17" s="74">
        <f t="shared" si="5"/>
        <v>7282</v>
      </c>
      <c r="R17" s="74">
        <f t="shared" si="6"/>
        <v>5199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95</v>
      </c>
      <c r="E22" s="189"/>
      <c r="F22" s="189"/>
      <c r="G22" s="74">
        <f t="shared" si="2"/>
        <v>95</v>
      </c>
      <c r="H22" s="65"/>
      <c r="I22" s="65"/>
      <c r="J22" s="74">
        <f t="shared" si="3"/>
        <v>95</v>
      </c>
      <c r="K22" s="65">
        <v>71</v>
      </c>
      <c r="L22" s="65">
        <v>13</v>
      </c>
      <c r="M22" s="65"/>
      <c r="N22" s="74">
        <f t="shared" si="4"/>
        <v>84</v>
      </c>
      <c r="O22" s="65"/>
      <c r="P22" s="65"/>
      <c r="Q22" s="74">
        <f t="shared" si="5"/>
        <v>84</v>
      </c>
      <c r="R22" s="74">
        <f t="shared" si="6"/>
        <v>11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95</v>
      </c>
      <c r="H25" s="66">
        <f t="shared" si="7"/>
        <v>0</v>
      </c>
      <c r="I25" s="66">
        <f t="shared" si="7"/>
        <v>0</v>
      </c>
      <c r="J25" s="67">
        <f t="shared" si="3"/>
        <v>95</v>
      </c>
      <c r="K25" s="66">
        <f t="shared" si="7"/>
        <v>71</v>
      </c>
      <c r="L25" s="66">
        <f t="shared" si="7"/>
        <v>13</v>
      </c>
      <c r="M25" s="66">
        <f t="shared" si="7"/>
        <v>0</v>
      </c>
      <c r="N25" s="67">
        <f t="shared" si="4"/>
        <v>84</v>
      </c>
      <c r="O25" s="66">
        <f t="shared" si="7"/>
        <v>0</v>
      </c>
      <c r="P25" s="66">
        <f t="shared" si="7"/>
        <v>0</v>
      </c>
      <c r="Q25" s="67">
        <f t="shared" si="5"/>
        <v>84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12409</v>
      </c>
      <c r="E40" s="438">
        <f>E17+E18+E19+E25+E38+E39</f>
        <v>299</v>
      </c>
      <c r="F40" s="438">
        <f aca="true" t="shared" si="13" ref="F40:R40">F17+F18+F19+F25+F38+F39</f>
        <v>132</v>
      </c>
      <c r="G40" s="438">
        <f t="shared" si="13"/>
        <v>12576</v>
      </c>
      <c r="H40" s="438">
        <f t="shared" si="13"/>
        <v>0</v>
      </c>
      <c r="I40" s="438">
        <f t="shared" si="13"/>
        <v>0</v>
      </c>
      <c r="J40" s="438">
        <f t="shared" si="13"/>
        <v>12576</v>
      </c>
      <c r="K40" s="438">
        <f t="shared" si="13"/>
        <v>6947</v>
      </c>
      <c r="L40" s="438">
        <f t="shared" si="13"/>
        <v>524</v>
      </c>
      <c r="M40" s="438">
        <f t="shared" si="13"/>
        <v>105</v>
      </c>
      <c r="N40" s="438">
        <f t="shared" si="13"/>
        <v>7366</v>
      </c>
      <c r="O40" s="438">
        <f t="shared" si="13"/>
        <v>0</v>
      </c>
      <c r="P40" s="438">
        <f t="shared" si="13"/>
        <v>0</v>
      </c>
      <c r="Q40" s="438">
        <f t="shared" si="13"/>
        <v>7366</v>
      </c>
      <c r="R40" s="438">
        <f t="shared" si="13"/>
        <v>5210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28"/>
      <c r="L44" s="628"/>
      <c r="M44" s="628"/>
      <c r="N44" s="628"/>
      <c r="O44" s="617" t="s">
        <v>781</v>
      </c>
      <c r="P44" s="618"/>
      <c r="Q44" s="618"/>
      <c r="R44" s="61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01.01.2014-30.09.2014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1332</v>
      </c>
      <c r="D24" s="119">
        <f>SUM(D25:D27)</f>
        <v>1332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1332</v>
      </c>
      <c r="D27" s="108">
        <v>1332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2610</v>
      </c>
      <c r="D28" s="108">
        <v>2610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66</v>
      </c>
      <c r="D29" s="108">
        <v>66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89</v>
      </c>
      <c r="D31" s="108">
        <v>89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105</v>
      </c>
      <c r="D33" s="105">
        <f>SUM(D34:D37)</f>
        <v>105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105</v>
      </c>
      <c r="D35" s="108">
        <v>105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31</v>
      </c>
      <c r="D38" s="105">
        <f>SUM(D39:D42)</f>
        <v>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31</v>
      </c>
      <c r="D42" s="108">
        <v>31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4233</v>
      </c>
      <c r="D43" s="104">
        <f>D24+D28+D29+D31+D30+D32+D33+D38</f>
        <v>4233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4233</v>
      </c>
      <c r="D44" s="103">
        <f>D43+D21+D19+D9</f>
        <v>4233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5</v>
      </c>
      <c r="D52" s="103">
        <f>SUM(D53:D55)</f>
        <v>0</v>
      </c>
      <c r="E52" s="119">
        <f>C52-D52</f>
        <v>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5</v>
      </c>
      <c r="D54" s="108"/>
      <c r="E54" s="119">
        <f aca="true" t="shared" si="1" ref="E54:E95">C54-D54</f>
        <v>5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1054</v>
      </c>
      <c r="D56" s="103">
        <f>D57+D59</f>
        <v>0</v>
      </c>
      <c r="E56" s="119">
        <f t="shared" si="1"/>
        <v>1054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1054</v>
      </c>
      <c r="D57" s="108"/>
      <c r="E57" s="119">
        <f t="shared" si="1"/>
        <v>1054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54</v>
      </c>
      <c r="D64" s="108"/>
      <c r="E64" s="119">
        <f t="shared" si="1"/>
        <v>54</v>
      </c>
      <c r="F64" s="110"/>
    </row>
    <row r="65" spans="1:6" ht="12">
      <c r="A65" s="396" t="s">
        <v>709</v>
      </c>
      <c r="B65" s="397" t="s">
        <v>710</v>
      </c>
      <c r="C65" s="109">
        <v>54</v>
      </c>
      <c r="D65" s="109"/>
      <c r="E65" s="119">
        <f t="shared" si="1"/>
        <v>54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1113</v>
      </c>
      <c r="D66" s="103">
        <f>D52+D56+D61+D62+D63+D64</f>
        <v>0</v>
      </c>
      <c r="E66" s="119">
        <f t="shared" si="1"/>
        <v>1113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60</v>
      </c>
      <c r="D68" s="108"/>
      <c r="E68" s="119">
        <f t="shared" si="1"/>
        <v>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5</v>
      </c>
      <c r="D71" s="105">
        <f>SUM(D72:D74)</f>
        <v>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5</v>
      </c>
      <c r="D72" s="108">
        <v>5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741</v>
      </c>
      <c r="D75" s="103">
        <f>D76+D78</f>
        <v>741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741</v>
      </c>
      <c r="D76" s="108">
        <v>741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54</v>
      </c>
      <c r="D80" s="103">
        <f>SUM(D81:D84)</f>
        <v>54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54</v>
      </c>
      <c r="D83" s="108">
        <v>54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3125</v>
      </c>
      <c r="D85" s="104">
        <f>SUM(D86:D90)+D94</f>
        <v>3125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98</v>
      </c>
      <c r="D86" s="108">
        <v>98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2824</v>
      </c>
      <c r="D87" s="108">
        <v>2824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9</v>
      </c>
      <c r="D88" s="108">
        <v>9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127</v>
      </c>
      <c r="D89" s="108">
        <v>127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20</v>
      </c>
      <c r="D90" s="103">
        <f>SUM(D91:D93)</f>
        <v>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20</v>
      </c>
      <c r="D93" s="108">
        <v>20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47</v>
      </c>
      <c r="D94" s="108">
        <v>47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39</v>
      </c>
      <c r="D95" s="108">
        <v>39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3964</v>
      </c>
      <c r="D96" s="104">
        <f>D85+D80+D75+D71+D95</f>
        <v>3964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5137</v>
      </c>
      <c r="D97" s="104">
        <f>D96+D68+D66</f>
        <v>3964</v>
      </c>
      <c r="E97" s="104">
        <f>E96+E68+E66</f>
        <v>1173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37">
      <selection activeCell="C11" sqref="C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01.01.2014-30.09.2014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1635</v>
      </c>
      <c r="D28" s="108">
        <v>1635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1635</v>
      </c>
      <c r="D43" s="104">
        <f>D24+D28+D29+D31+D30+D32+D33+D38</f>
        <v>1635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1635</v>
      </c>
      <c r="D44" s="103">
        <f>D43+D21+D19+D9</f>
        <v>1635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0" sqref="A10"/>
    </sheetView>
  </sheetViews>
  <sheetFormatPr defaultColWidth="10.75390625" defaultRowHeight="12.75"/>
  <cols>
    <col min="1" max="1" width="47.25390625" style="574" customWidth="1"/>
    <col min="2" max="2" width="11.875" style="592" customWidth="1"/>
    <col min="3" max="3" width="13.375" style="574" customWidth="1"/>
    <col min="4" max="4" width="12.375" style="574" customWidth="1"/>
    <col min="5" max="5" width="13.125" style="574" customWidth="1"/>
    <col min="6" max="6" width="14.875" style="574" customWidth="1"/>
    <col min="7" max="26" width="10.75390625" style="574" hidden="1" customWidth="1"/>
    <col min="27" max="16384" width="10.75390625" style="574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8"/>
      <c r="B2" s="579"/>
      <c r="C2" s="580"/>
      <c r="E2" s="581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582" t="s">
        <v>2</v>
      </c>
      <c r="E3" s="582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">
        <v>869</v>
      </c>
      <c r="C4" s="634"/>
      <c r="D4" s="583"/>
      <c r="E4" s="582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7" t="s">
        <v>872</v>
      </c>
      <c r="B5" s="584"/>
      <c r="C5" s="585"/>
      <c r="D5" s="585"/>
      <c r="E5" s="586" t="s">
        <v>611</v>
      </c>
      <c r="F5" s="587"/>
      <c r="G5" s="22"/>
      <c r="H5" s="22"/>
      <c r="I5" s="22"/>
      <c r="J5" s="22"/>
      <c r="K5" s="22"/>
      <c r="L5" s="22"/>
      <c r="M5" s="22"/>
      <c r="N5" s="22"/>
      <c r="O5" s="22"/>
    </row>
    <row r="6" spans="1:15" s="588" customFormat="1" ht="24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8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8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</row>
    <row r="47" spans="1:15" ht="12">
      <c r="A47" s="400" t="s">
        <v>873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8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8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8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</row>
    <row r="100" spans="1:16" s="591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0"/>
    </row>
    <row r="101" spans="1:16" s="591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0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0" t="s">
        <v>882</v>
      </c>
      <c r="B109" s="630"/>
      <c r="C109" s="630" t="s">
        <v>870</v>
      </c>
      <c r="D109" s="630"/>
      <c r="E109" s="630"/>
      <c r="F109" s="630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871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7" sqref="C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33" t="str">
        <f>'справка №1-БАЛАНС'!E5</f>
        <v>01.01.2014-30.09.2014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589</v>
      </c>
      <c r="D28" s="108">
        <v>589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589</v>
      </c>
      <c r="D43" s="104">
        <f>D24+D28+D29+D31+D30+D32+D33+D38</f>
        <v>589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589</v>
      </c>
      <c r="D44" s="103">
        <f>D43+D21+D19+D9</f>
        <v>589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/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2014-10-29T08:07:56Z</cp:lastPrinted>
  <dcterms:created xsi:type="dcterms:W3CDTF">2000-06-29T12:02:40Z</dcterms:created>
  <dcterms:modified xsi:type="dcterms:W3CDTF">2014-10-29T08:45:18Z</dcterms:modified>
  <cp:category/>
  <cp:version/>
  <cp:contentType/>
  <cp:contentStatus/>
</cp:coreProperties>
</file>