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0" windowWidth="15645" windowHeight="12765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<sst xmlns="http://schemas.openxmlformats.org/spreadsheetml/2006/main" count="1068" uniqueCount="877">
  <si>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</si>
  <si>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</si>
  <si>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</si>
  <si>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</si>
  <si>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</si>
  <si>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</si>
  <si>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</si>
  <si>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</si>
  <si>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</si>
  <si>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</si>
  <si>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</si>
  <si>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</si>
  <si>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</si>
  <si>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</si>
  <si>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</si>
  <si>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</si>
  <si>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</si>
  <si>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</si>
  <si>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</si>
  <si>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</si>
  <si>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</si>
  <si>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</si>
  <si>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</si>
  <si>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</si>
  <si>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</si>
  <si>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</si>
  <si>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</si>
  <si>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</si>
  <si>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</si>
  <si>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</si>
  <si>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</si>
  <si>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</si>
  <si>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</si>
  <si>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</si>
  <si>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</si>
  <si>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</si>
  <si>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</si>
  <si>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</si>
  <si>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</si>
  <si>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</si>
  <si>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</si>
  <si>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</si>
  <si>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</si>
  <si>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</si>
  <si>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</si>
  <si>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</si>
  <si>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</si>
  <si>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</si>
  <si>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</si>
  <si>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</si>
  <si>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</si>
  <si>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</si>
  <si>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</si>
  <si>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</si>
  <si>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</si>
  <si>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</si>
  <si>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</si>
  <si>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</si>
  <si>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</si>
  <si>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</si>
  <si>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</si>
  <si>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</si>
  <si>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</si>
  <si>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</si>
  <si>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</si>
  <si>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</si>
  <si>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</si>
  <si>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</si>
  <si>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</si>
  <si>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</si>
  <si>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</si>
  <si>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</si>
  <si>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</si>
  <si>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</si>
  <si>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</si>
  <si>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</si>
  <si>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</si>
  <si>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</si>
  <si>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</si>
  <si>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</si>
  <si>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</si>
  <si>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</si>
  <si>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</si>
  <si>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</si>
  <si>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</si>
  <si>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</si>
  <si>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</si>
  <si>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</si>
  <si>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</si>
  <si>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</si>
  <si>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</si>
  <si>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</si>
  <si>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</si>
  <si>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</si>
  <si>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</si>
  <si>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</si>
  <si>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</si>
  <si>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</si>
  <si>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</si>
  <si>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</si>
  <si>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</si>
  <si>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</si>
  <si>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</si>
  <si>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</si>
  <si>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</si>
  <si>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</si>
  <si>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</si>
  <si>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</si>
  <si>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</si>
  <si>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</si>
  <si>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</si>
  <si>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</si>
  <si>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</si>
  <si>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</si>
  <si>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</si>
  <si>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</si>
  <si>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</si>
  <si>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</si>
  <si>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</si>
  <si>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</si>
  <si>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</si>
  <si>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</si>
  <si>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</si>
  <si>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</si>
  <si>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</si>
  <si>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</si>
  <si>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</si>
  <si>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</si>
  <si>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</si>
  <si>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</si>
  <si>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</si>
  <si>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</si>
  <si>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</si>
  <si>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</si>
  <si>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</si>
  <si>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</si>
  <si>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</si>
  <si>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</si>
  <si>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</si>
  <si>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</si>
  <si>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</si>
  <si>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</si>
  <si>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</si>
  <si>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</si>
  <si>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</si>
  <si>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</si>
  <si>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</si>
  <si>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</si>
  <si>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</si>
  <si>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</si>
  <si>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</si>
  <si>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</si>
  <si>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</si>
  <si>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</si>
  <si>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</si>
  <si>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</si>
  <si>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</si>
  <si>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</si>
  <si>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</si>
  <si>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</si>
  <si>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</si>
  <si>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</si>
  <si>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</si>
  <si>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</si>
  <si>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</si>
  <si>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</si>
  <si>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</si>
  <si>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</si>
  <si>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</si>
  <si>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</si>
  <si>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</si>
  <si>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</si>
  <si>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</si>
  <si>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</si>
  <si>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</si>
  <si>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</si>
  <si>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</si>
  <si>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</si>
  <si>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</si>
  <si>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</si>
  <si>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</si>
  <si>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</si>
  <si>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</si>
  <si>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</si>
  <si>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</si>
  <si>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</si>
  <si>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</si>
  <si>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</si>
  <si>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</si>
  <si>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</si>
  <si>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</si>
  <si>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</si>
  <si>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</si>
  <si>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</si>
  <si>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</si>
  <si>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</si>
  <si>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</si>
  <si>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</si>
  <si>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</si>
  <si>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</si>
  <si>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</si>
  <si>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</si>
  <si>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</si>
  <si>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</si>
  <si>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</si>
  <si>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</si>
  <si>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</si>
  <si>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</si>
  <si>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</si>
  <si>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</si>
  <si>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</si>
  <si>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</si>
  <si>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</si>
  <si>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</si>
  <si>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</si>
  <si>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</si>
  <si>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</si>
  <si>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</si>
  <si>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</si>
  <si>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</si>
  <si>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</si>
  <si>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</si>
  <si>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</si>
  <si>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</si>
  <si>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</si>
  <si>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</si>
  <si>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</si>
  <si>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</si>
  <si>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</si>
  <si>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</si>
  <si>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</si>
  <si>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</si>
  <si>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</si>
  <si>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</si>
  <si>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</si>
  <si>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</si>
  <si>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</si>
  <si>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</si>
  <si>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</si>
  <si>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</si>
  <si>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</si>
  <si>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</si>
  <si>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</si>
  <si>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</si>
  <si>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</si>
  <si>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</si>
  <si>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</si>
  <si>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</si>
  <si>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</si>
  <si>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</si>
  <si>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</si>
  <si>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</si>
  <si>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</si>
  <si>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</si>
  <si>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</si>
  <si>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</si>
  <si>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</si>
  <si>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</si>
  <si>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</si>
  <si>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</si>
  <si>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</si>
  <si>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</si>
  <si>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</si>
  <si>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</si>
  <si>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</si>
  <si>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</si>
  <si>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</si>
  <si>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</si>
  <si>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</si>
  <si>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</si>
  <si>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</si>
  <si>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</si>
  <si>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</si>
  <si>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</si>
  <si>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</si>
  <si>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</si>
  <si>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</si>
  <si>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</si>
  <si>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</si>
  <si>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</si>
  <si>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</si>
  <si>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</si>
  <si>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</si>
  <si>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</si>
  <si>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</si>
  <si>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</si>
  <si>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</si>
  <si>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</si>
  <si>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</si>
  <si>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</si>
  <si>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</si>
  <si>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</si>
  <si>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</si>
  <si>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</si>
  <si>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</si>
  <si>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</si>
  <si>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</si>
  <si>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</si>
  <si>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</si>
  <si>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</si>
  <si>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</si>
  <si>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</si>
  <si>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</si>
  <si>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</si>
  <si>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</si>
  <si>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</si>
  <si>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</si>
  <si>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</si>
  <si>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</si>
  <si>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</si>
  <si>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</si>
  <si>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</si>
  <si>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</si>
  <si>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</si>
  <si>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</si>
  <si>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</si>
  <si>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</si>
  <si>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</si>
  <si>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</si>
  <si>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</si>
  <si>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</si>
  <si>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</si>
  <si>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</si>
  <si>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</si>
  <si>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</si>
  <si>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</si>
  <si>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</si>
  <si>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</si>
  <si>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</si>
  <si>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</si>
  <si>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</si>
  <si>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</si>
  <si>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</si>
  <si>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</si>
  <si>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</si>
  <si>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</si>
  <si>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</si>
  <si>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</si>
  <si>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</si>
  <si>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</si>
  <si>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</si>
  <si>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</si>
  <si>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</si>
  <si>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</si>
  <si>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</si>
  <si>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</si>
  <si>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</si>
  <si>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</si>
  <si>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</si>
  <si>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</si>
  <si>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</si>
  <si>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</si>
  <si>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</si>
  <si>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</si>
  <si>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</si>
  <si>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</si>
  <si>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</si>
  <si>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</si>
  <si>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</si>
  <si>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</si>
  <si>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</si>
  <si>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</si>
  <si>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</si>
  <si>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</si>
  <si>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</si>
  <si>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</si>
  <si>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</si>
  <si>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</si>
  <si>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</si>
  <si>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</si>
  <si>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</si>
  <si>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</si>
  <si>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</si>
  <si>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</si>
  <si>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</si>
  <si>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</si>
  <si>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</si>
  <si>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</si>
  <si>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</si>
  <si>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</si>
  <si>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</si>
  <si>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</si>
  <si>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</si>
  <si>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</si>
  <si>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</si>
  <si>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</si>
  <si>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</si>
  <si>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</si>
  <si>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</si>
  <si>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</si>
  <si>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</si>
  <si>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</si>
  <si>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</si>
  <si>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</si>
  <si>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</si>
  <si>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</si>
  <si>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</si>
  <si>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</si>
  <si>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</si>
  <si>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</si>
  <si>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</si>
  <si>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</si>
  <si>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</si>
  <si>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</si>
  <si>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</si>
  <si>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</si>
  <si>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</si>
  <si>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</si>
  <si>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</si>
  <si>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</si>
  <si>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</si>
  <si>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</si>
  <si>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</si>
  <si>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</si>
  <si>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</si>
  <si>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</si>
  <si>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</si>
  <si>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</si>
  <si>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</si>
  <si>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</si>
  <si>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</si>
  <si>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</si>
  <si>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</si>
  <si>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</si>
  <si>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</si>
  <si>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</si>
  <si>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</si>
  <si>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</si>
  <si>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</si>
  <si>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</si>
  <si>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</si>
  <si>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</si>
  <si>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</si>
  <si>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</si>
  <si>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</si>
  <si>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</si>
  <si>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</si>
  <si>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</si>
  <si>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</si>
  <si>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</si>
  <si>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</si>
  <si>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</si>
  <si>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</si>
  <si>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</si>
  <si>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</si>
  <si>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</si>
  <si>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</si>
  <si>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</si>
  <si>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</si>
  <si>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</si>
  <si>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</si>
  <si>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</si>
  <si>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</si>
  <si>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</si>
  <si>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</si>
  <si>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</si>
  <si>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</si>
  <si>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</si>
  <si>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</si>
  <si>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</si>
  <si>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</si>
  <si>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</si>
  <si>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</si>
  <si>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</si>
  <si>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</si>
  <si>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</si>
  <si>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</si>
  <si>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</si>
  <si>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</si>
  <si>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</si>
  <si>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</si>
  <si>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</si>
  <si>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</si>
  <si>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</si>
  <si>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</si>
  <si>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</si>
  <si>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</si>
  <si>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</si>
  <si>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</si>
  <si>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</si>
  <si>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</si>
  <si>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</si>
  <si>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</si>
  <si>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</si>
  <si>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</si>
  <si>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</si>
  <si>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</si>
  <si>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</si>
  <si>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</si>
  <si>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</si>
  <si>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</si>
  <si>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</si>
  <si>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</si>
  <si>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</si>
  <si>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</si>
  <si>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</si>
  <si>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</si>
  <si>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</si>
  <si>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</si>
  <si>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</si>
  <si>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</si>
  <si>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</si>
  <si>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</si>
  <si>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</si>
  <si>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</si>
  <si>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</si>
  <si>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</si>
  <si>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</si>
  <si>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</si>
  <si>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</si>
  <si>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</si>
  <si>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</si>
  <si>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</si>
  <si>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</si>
  <si>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</si>
  <si>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</si>
  <si>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</si>
  <si>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</si>
  <si>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</si>
  <si>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</si>
  <si>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</si>
  <si>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</si>
  <si>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</si>
  <si>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</si>
  <si>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</si>
  <si>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</si>
  <si>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</si>
  <si>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</si>
  <si>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</si>
  <si>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</si>
  <si>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</si>
  <si>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</si>
  <si>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</si>
  <si>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</si>
  <si>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</si>
  <si>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</si>
  <si>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</si>
  <si>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</si>
  <si>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</si>
  <si>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</si>
  <si>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</si>
  <si>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</si>
  <si>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</si>
  <si>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</si>
  <si>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</si>
  <si>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</si>
  <si>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</si>
  <si>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</si>
  <si>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</si>
  <si>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</si>
  <si>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</si>
  <si>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</si>
  <si>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</si>
  <si>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</si>
  <si>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</si>
  <si>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</si>
  <si>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</si>
  <si>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</si>
  <si>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</si>
  <si>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</si>
  <si>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</si>
  <si>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</si>
  <si>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</si>
  <si>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</si>
  <si>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</si>
  <si>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</si>
  <si>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</si>
  <si>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</si>
  <si>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</si>
  <si>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</si>
  <si>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</si>
  <si>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</si>
  <si>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</si>
  <si>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</si>
  <si>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</si>
  <si>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</si>
  <si>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</si>
  <si>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</si>
  <si>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</si>
  <si>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</si>
  <si>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</si>
  <si>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</si>
  <si>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</si>
  <si>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</si>
  <si>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</si>
  <si>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</si>
  <si>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</si>
  <si>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</si>
  <si>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</si>
  <si>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</si>
  <si>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</si>
  <si>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</si>
  <si>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</si>
  <si>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</si>
  <si>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</si>
  <si>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</si>
  <si>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</si>
  <si>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</si>
  <si>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</si>
  <si>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</si>
  <si>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</si>
  <si>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</si>
  <si>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</si>
  <si>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</si>
  <si>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</si>
  <si>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</si>
  <si>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</si>
  <si>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</si>
  <si>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</si>
  <si>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</si>
  <si>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</si>
  <si>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</si>
  <si>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</si>
  <si>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</si>
  <si>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</si>
  <si>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</si>
  <si>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</si>
  <si>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</si>
  <si>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</si>
  <si>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</si>
  <si>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</si>
  <si>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</si>
  <si>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</si>
  <si>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</si>
  <si>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</si>
  <si>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</si>
  <si>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</si>
  <si>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</si>
  <si>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</si>
  <si>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</si>
  <si>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</si>
  <si>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</si>
  <si>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</si>
  <si>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</si>
  <si>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</si>
  <si>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</si>
  <si>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</si>
  <si>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</si>
  <si>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</si>
  <si>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</si>
  <si>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</si>
  <si>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</si>
  <si>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</si>
  <si>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</si>
  <si>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</si>
  <si>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</si>
  <si>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</si>
  <si>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</si>
  <si>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</si>
  <si>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</si>
  <si>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</si>
  <si>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</si>
  <si>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</si>
  <si>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</si>
  <si>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</si>
  <si>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</si>
  <si>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</si>
  <si>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</si>
  <si>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</si>
  <si>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</si>
  <si>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</si>
  <si>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</si>
  <si>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</si>
  <si>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</si>
  <si>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</si>
  <si>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</si>
  <si>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</si>
  <si>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</si>
  <si>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</si>
  <si>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</si>
  <si>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</si>
  <si>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</si>
  <si>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</si>
  <si>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</si>
  <si>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</si>
  <si>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</si>
  <si>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</si>
  <si>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</si>
  <si>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</si>
  <si>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</si>
  <si>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</si>
  <si>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</si>
  <si>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</si>
  <si>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</si>
  <si>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</si>
  <si>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</si>
  <si>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</si>
  <si>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</si>
  <si>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</si>
  <si>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</si>
  <si>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</si>
  <si>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</si>
  <si>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</si>
  <si>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</si>
  <si>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</si>
  <si>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</si>
  <si>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</si>
  <si>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</si>
  <si>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</si>
  <si>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</si>
  <si>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</si>
  <si>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</si>
  <si>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</si>
  <si>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</si>
  <si>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</si>
  <si>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</si>
  <si>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</si>
  <si>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</si>
  <si>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</si>
  <si>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</si>
  <si>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</si>
  <si>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</si>
  <si>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</si>
  <si>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</si>
  <si>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</si>
  <si>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</si>
  <si>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</si>
  <si>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</si>
  <si>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</si>
  <si>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</si>
  <si>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</si>
  <si>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</si>
  <si>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</si>
  <si>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</si>
  <si>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</si>
  <si>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</si>
  <si>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</si>
  <si>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</si>
  <si>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</si>
  <si>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</si>
  <si>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</si>
  <si>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</si>
  <si>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</si>
  <si>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</si>
  <si>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</si>
  <si>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</si>
  <si>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</si>
  <si>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</si>
  <si>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</si>
  <si>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</si>
  <si>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</si>
  <si>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</si>
  <si>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</si>
  <si>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</si>
  <si>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</si>
  <si>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</si>
  <si>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</si>
  <si>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</si>
  <si>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</si>
  <si>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</si>
  <si>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</si>
  <si>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</si>
  <si>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</si>
  <si>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</si>
  <si>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</si>
  <si>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</si>
  <si>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</si>
  <si>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</si>
  <si>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</si>
  <si>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</si>
  <si>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</si>
  <si>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</si>
  <si>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</si>
  <si>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</si>
  <si>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</si>
  <si>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</si>
  <si>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</si>
  <si>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</si>
  <si>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</si>
  <si>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</si>
  <si>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</si>
  <si>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</si>
  <si>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</si>
  <si>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</si>
  <si>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</si>
  <si>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</si>
  <si>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</si>
  <si>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</si>
  <si>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</si>
  <si>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</si>
  <si>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</si>
  <si>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</si>
  <si>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</si>
  <si>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</si>
  <si>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</si>
  <si>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</si>
  <si>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</si>
  <si>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</si>
  <si>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</si>
  <si>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</si>
  <si>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</si>
  <si>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</si>
  <si>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</si>
  <si>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</si>
  <si>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</si>
  <si>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</si>
  <si>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</si>
  <si>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</si>
  <si>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</si>
  <si>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</si>
  <si>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</si>
  <si>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</si>
  <si>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</si>
  <si>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</si>
  <si>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</si>
  <si>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</si>
  <si>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</si>
  <si>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</si>
  <si>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</si>
  <si>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</si>
  <si>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</si>
  <si>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</si>
  <si>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</si>
  <si>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</si>
  <si>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</si>
  <si>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</si>
  <si>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</si>
  <si>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</si>
  <si>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</si>
  <si>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</si>
  <si>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</si>
  <si>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</si>
  <si>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</si>
  <si>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</si>
  <si>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</si>
  <si>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</si>
  <si>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</si>
  <si>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</si>
  <si>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</si>
  <si>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</si>
  <si>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</si>
  <si>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</si>
  <si>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</si>
  <si>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</si>
  <si>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</si>
  <si>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</si>
  <si>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</si>
  <si>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</si>
  <si>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</si>
  <si>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</si>
  <si>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</si>
  <si>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</si>
  <si>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</si>
  <si>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</si>
  <si>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</si>
  <si>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</si>
  <si>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</si>
  <si>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</si>
  <si>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</si>
  <si>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</si>
  <si>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</si>
  <si>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</si>
  <si>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</si>
  <si>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</si>
  <si>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</si>
  <si>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</si>
  <si>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</si>
  <si>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</si>
  <si>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</si>
  <si>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</si>
  <si>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</si>
  <si>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</si>
  <si>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</si>
  <si>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</si>
  <si>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</si>
  <si>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</si>
  <si>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Ръководители: Антон Филипов и Деница Димитрова</t>
  </si>
  <si>
    <t>Антон Филипов и Деница Димитрова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</si>
  <si>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</si>
  <si>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</si>
  <si>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4. "Инвестор.Имоти.нет" ООД</t>
  </si>
  <si>
    <t>2. " Кий Медия" ООД</t>
  </si>
  <si>
    <t>Дата на съставяне: 28.04.2014</t>
  </si>
  <si>
    <t>28.04.2014 г.</t>
  </si>
  <si>
    <t>Дата на съставяне:    28.04.2014</t>
  </si>
  <si>
    <t>Дата на съставяне:   28.04.2014</t>
  </si>
  <si>
    <t>Вид на отчета: неконсолидиран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</si>
</sst>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A55">
      <pane ySplit="1" topLeftCell="A1" activePane="bottomLeft" state="split"/>
      <selection pane="topLeft" activeCell="C55" activeCellId="1" sqref="C43:G44 C55"/>
      <selection pane="bottomLeft" activeCell="K44" sqref="K4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876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41729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>
        <v>28</v>
      </c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39</v>
      </c>
      <c r="D16" s="40">
        <v>46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21</v>
      </c>
      <c r="D18" s="40">
        <v>27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60</v>
      </c>
      <c r="D19" s="54">
        <f>SUM(D11:D18)</f>
        <v>101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981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4788</v>
      </c>
      <c r="D23" s="40">
        <v>4684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225</v>
      </c>
      <c r="D24" s="40">
        <v>244</v>
      </c>
      <c r="E24" s="34" t="s">
        <v>73</v>
      </c>
      <c r="F24" s="41" t="s">
        <v>74</v>
      </c>
      <c r="G24" s="42">
        <v>837</v>
      </c>
      <c r="H24" s="42">
        <v>837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4340</v>
      </c>
      <c r="H25" s="48">
        <f>H19+H20+H21</f>
        <v>4340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/>
      <c r="D26" s="40"/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5013</v>
      </c>
      <c r="D27" s="54">
        <f>SUM(D23:D26)</f>
        <v>4928</v>
      </c>
      <c r="E27" s="60" t="s">
        <v>84</v>
      </c>
      <c r="F27" s="41" t="s">
        <v>85</v>
      </c>
      <c r="G27" s="48">
        <f>SUM(G28:G30)</f>
        <v>1802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f>1569+233</f>
        <v>1802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/>
      <c r="H31" s="42">
        <v>233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>
        <v>-136</v>
      </c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1666</v>
      </c>
      <c r="H33" s="48">
        <f>H27+H31+H32</f>
        <v>1802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1329</v>
      </c>
      <c r="D34" s="54">
        <f>SUM(D35:D38)</f>
        <v>1329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1325</v>
      </c>
      <c r="D35" s="40">
        <v>1325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7428</v>
      </c>
      <c r="H36" s="48">
        <f>H25+H17+H33</f>
        <v>7564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1329</v>
      </c>
      <c r="D45" s="54">
        <f>D34+D39+D44</f>
        <v>1329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9</v>
      </c>
      <c r="D54" s="40">
        <v>9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6411</v>
      </c>
      <c r="D55" s="54">
        <f>D19+D20+D21+D27+D32+D45+D51+D53+D54</f>
        <v>6367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>
        <v>17</v>
      </c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402</v>
      </c>
      <c r="H61" s="48">
        <f>SUM(H62:H68)</f>
        <v>406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76</v>
      </c>
      <c r="H62" s="42">
        <v>69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68</v>
      </c>
      <c r="H64" s="42">
        <v>109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26</v>
      </c>
      <c r="H65" s="42">
        <v>25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150</v>
      </c>
      <c r="H66" s="42">
        <v>135</v>
      </c>
    </row>
    <row r="67" spans="1:8" ht="15">
      <c r="A67" s="34" t="s">
        <v>209</v>
      </c>
      <c r="B67" s="39" t="s">
        <v>210</v>
      </c>
      <c r="C67" s="40">
        <v>72</v>
      </c>
      <c r="D67" s="40">
        <v>63</v>
      </c>
      <c r="E67" s="34" t="s">
        <v>211</v>
      </c>
      <c r="F67" s="41" t="s">
        <v>212</v>
      </c>
      <c r="G67" s="42">
        <v>36</v>
      </c>
      <c r="H67" s="42">
        <v>34</v>
      </c>
    </row>
    <row r="68" spans="1:8" ht="15">
      <c r="A68" s="34" t="s">
        <v>213</v>
      </c>
      <c r="B68" s="39" t="s">
        <v>214</v>
      </c>
      <c r="C68" s="40">
        <v>409</v>
      </c>
      <c r="D68" s="40">
        <v>593</v>
      </c>
      <c r="E68" s="34" t="s">
        <v>215</v>
      </c>
      <c r="F68" s="41" t="s">
        <v>216</v>
      </c>
      <c r="G68" s="42">
        <v>46</v>
      </c>
      <c r="H68" s="42">
        <v>34</v>
      </c>
    </row>
    <row r="69" spans="1:8" ht="15">
      <c r="A69" s="34" t="s">
        <v>217</v>
      </c>
      <c r="B69" s="39" t="s">
        <v>218</v>
      </c>
      <c r="C69" s="40">
        <v>20</v>
      </c>
      <c r="D69" s="40">
        <v>7</v>
      </c>
      <c r="E69" s="57" t="s">
        <v>79</v>
      </c>
      <c r="F69" s="41" t="s">
        <v>219</v>
      </c>
      <c r="G69" s="42">
        <v>32</v>
      </c>
      <c r="H69" s="42">
        <v>30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434</v>
      </c>
      <c r="H71" s="87">
        <f>H59+H60+H61+H69+H70</f>
        <v>453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67</v>
      </c>
      <c r="D74" s="40">
        <v>88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582</v>
      </c>
      <c r="D75" s="54">
        <f>SUM(D67:D74)</f>
        <v>765</v>
      </c>
      <c r="E75" s="57" t="s">
        <v>162</v>
      </c>
      <c r="F75" s="47" t="s">
        <v>236</v>
      </c>
      <c r="G75" s="42">
        <v>160</v>
      </c>
      <c r="H75" s="42">
        <v>64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77</v>
      </c>
      <c r="H76" s="42">
        <v>84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671</v>
      </c>
      <c r="H79" s="98">
        <f>H71+H74+H75+H76</f>
        <v>601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6</v>
      </c>
      <c r="D87" s="40">
        <v>18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960</v>
      </c>
      <c r="D88" s="40">
        <v>982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966</v>
      </c>
      <c r="D91" s="54">
        <f>SUM(D87:D90)</f>
        <v>1000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151</v>
      </c>
      <c r="D92" s="40">
        <v>44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1699</v>
      </c>
      <c r="D93" s="54">
        <f>D64+D75+D84+D91+D92</f>
        <v>1809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8110</v>
      </c>
      <c r="D94" s="103">
        <f>D93+D55</f>
        <v>8176</v>
      </c>
      <c r="E94" s="104" t="s">
        <v>272</v>
      </c>
      <c r="F94" s="70" t="s">
        <v>273</v>
      </c>
      <c r="G94" s="48">
        <f>G36+G39+G55+G79</f>
        <v>8110</v>
      </c>
      <c r="H94" s="48">
        <f>H36+H39+H55+H79</f>
        <v>8176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872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866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5" zoomScaleNormal="95" zoomScalePageLayoutView="0" workbookViewId="0" topLeftCell="A1">
      <pane ySplit="1" topLeftCell="A25" activePane="bottomLeft" state="split"/>
      <selection pane="topLeft" activeCell="C43" sqref="C43:G44"/>
      <selection pane="bottomLeft" activeCell="C25" sqref="C25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41729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7</v>
      </c>
      <c r="D9" s="141">
        <v>5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300</v>
      </c>
      <c r="D10" s="141">
        <v>291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38</v>
      </c>
      <c r="D11" s="141">
        <v>42</v>
      </c>
      <c r="E11" s="144" t="s">
        <v>295</v>
      </c>
      <c r="F11" s="142" t="s">
        <v>296</v>
      </c>
      <c r="G11" s="143">
        <v>605</v>
      </c>
      <c r="H11" s="143">
        <v>702</v>
      </c>
    </row>
    <row r="12" spans="1:8" ht="12">
      <c r="A12" s="139" t="s">
        <v>297</v>
      </c>
      <c r="B12" s="140" t="s">
        <v>298</v>
      </c>
      <c r="C12" s="141">
        <v>338</v>
      </c>
      <c r="D12" s="141">
        <v>341</v>
      </c>
      <c r="E12" s="144" t="s">
        <v>79</v>
      </c>
      <c r="F12" s="142" t="s">
        <v>299</v>
      </c>
      <c r="G12" s="143">
        <v>1</v>
      </c>
      <c r="H12" s="143">
        <v>8</v>
      </c>
    </row>
    <row r="13" spans="1:18" ht="12">
      <c r="A13" s="139" t="s">
        <v>300</v>
      </c>
      <c r="B13" s="140" t="s">
        <v>301</v>
      </c>
      <c r="C13" s="141">
        <v>52</v>
      </c>
      <c r="D13" s="141">
        <v>45</v>
      </c>
      <c r="E13" s="145" t="s">
        <v>52</v>
      </c>
      <c r="F13" s="146" t="s">
        <v>302</v>
      </c>
      <c r="G13" s="135">
        <f>SUM(G9:G12)</f>
        <v>606</v>
      </c>
      <c r="H13" s="135">
        <f>SUM(H9:H12)</f>
        <v>710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7</v>
      </c>
      <c r="H15" s="143">
        <v>2</v>
      </c>
    </row>
    <row r="16" spans="1:8" ht="12">
      <c r="A16" s="139" t="s">
        <v>309</v>
      </c>
      <c r="B16" s="140" t="s">
        <v>310</v>
      </c>
      <c r="C16" s="149">
        <v>13</v>
      </c>
      <c r="D16" s="149">
        <v>8</v>
      </c>
      <c r="E16" s="139" t="s">
        <v>311</v>
      </c>
      <c r="F16" s="147" t="s">
        <v>312</v>
      </c>
      <c r="G16" s="151">
        <v>7</v>
      </c>
      <c r="H16" s="151">
        <v>2</v>
      </c>
    </row>
    <row r="17" spans="1:8" ht="12">
      <c r="A17" s="152" t="s">
        <v>313</v>
      </c>
      <c r="B17" s="140" t="s">
        <v>314</v>
      </c>
      <c r="C17" s="153"/>
      <c r="D17" s="153"/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748</v>
      </c>
      <c r="D19" s="155">
        <f>SUM(D9:D15)+D16</f>
        <v>732</v>
      </c>
      <c r="E19" s="134" t="s">
        <v>319</v>
      </c>
      <c r="F19" s="147" t="s">
        <v>320</v>
      </c>
      <c r="G19" s="143">
        <v>1</v>
      </c>
      <c r="H19" s="143">
        <v>1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/>
    </row>
    <row r="22" spans="1:8" ht="24">
      <c r="A22" s="134" t="s">
        <v>326</v>
      </c>
      <c r="B22" s="157" t="s">
        <v>327</v>
      </c>
      <c r="C22" s="141"/>
      <c r="D22" s="141">
        <v>1</v>
      </c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1</v>
      </c>
      <c r="H24" s="135">
        <f>SUM(H19:H23)</f>
        <v>1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2</v>
      </c>
      <c r="D25" s="141">
        <v>4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2</v>
      </c>
      <c r="D26" s="155">
        <f>SUM(D22:D25)</f>
        <v>5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750</v>
      </c>
      <c r="D28" s="138">
        <f>D26+D19</f>
        <v>737</v>
      </c>
      <c r="E28" s="132" t="s">
        <v>341</v>
      </c>
      <c r="F28" s="150" t="s">
        <v>342</v>
      </c>
      <c r="G28" s="135">
        <f>G13+G15+G24</f>
        <v>614</v>
      </c>
      <c r="H28" s="135">
        <f>H13+H15+H24</f>
        <v>713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0</v>
      </c>
      <c r="D30" s="138">
        <f>IF((H28-D28)&gt;0,H28-D28,0)</f>
        <v>0</v>
      </c>
      <c r="E30" s="132" t="s">
        <v>345</v>
      </c>
      <c r="F30" s="150" t="s">
        <v>346</v>
      </c>
      <c r="G30" s="159">
        <f>IF((C28-G28)&gt;0,C28-G28,0)</f>
        <v>136</v>
      </c>
      <c r="H30" s="159">
        <f>IF((D28-H28)&gt;0,D28-H28,0)</f>
        <v>24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750</v>
      </c>
      <c r="D33" s="155">
        <f>D28+D31+D32</f>
        <v>737</v>
      </c>
      <c r="E33" s="132" t="s">
        <v>357</v>
      </c>
      <c r="F33" s="150" t="s">
        <v>358</v>
      </c>
      <c r="G33" s="159">
        <f>G32+G31+G28</f>
        <v>614</v>
      </c>
      <c r="H33" s="159">
        <f>H32+H31+H28</f>
        <v>713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0</v>
      </c>
      <c r="D34" s="138">
        <f>IF((H33-D33)&gt;0,H33-D33,0)</f>
        <v>0</v>
      </c>
      <c r="E34" s="162" t="s">
        <v>361</v>
      </c>
      <c r="F34" s="150" t="s">
        <v>362</v>
      </c>
      <c r="G34" s="135">
        <f>IF((C33-G33)&gt;0,C33-G33,0)</f>
        <v>136</v>
      </c>
      <c r="H34" s="135">
        <f>IF((D33-H33)&gt;0,D33-H33,0)</f>
        <v>24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0</v>
      </c>
      <c r="D35" s="155">
        <f>D36+D37+D38</f>
        <v>0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/>
      <c r="D36" s="141"/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/>
      <c r="D37" s="165"/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0</v>
      </c>
      <c r="D39" s="170">
        <f>+IF((H33-D33-D35)&gt;0,H33-D33-D35,0)</f>
        <v>0</v>
      </c>
      <c r="E39" s="171" t="s">
        <v>373</v>
      </c>
      <c r="F39" s="172" t="s">
        <v>374</v>
      </c>
      <c r="G39" s="173">
        <f>IF(G34&gt;0,IF(C35+G34&lt;0,0,C35+G34),IF(C34-C35&lt;0,C35-C34,0))</f>
        <v>136</v>
      </c>
      <c r="H39" s="173">
        <f>IF(H34&gt;0,IF(D35+H34&lt;0,0,D35+H34),IF(D34-D35&lt;0,D35-D34,0))</f>
        <v>24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0</v>
      </c>
      <c r="D41" s="133">
        <f>IF(H39=0,IF(D39-D40&gt;0,D39-D40+H40,0),IF(H39-H40&lt;0,H40-H39+D39,0))</f>
        <v>0</v>
      </c>
      <c r="E41" s="132" t="s">
        <v>380</v>
      </c>
      <c r="F41" s="175" t="s">
        <v>381</v>
      </c>
      <c r="G41" s="133">
        <f>IF(C39=0,IF(G39-G40&gt;0,G39-G40+C40,0),IF(C39-C40&lt;0,C40-C39+G40,0))</f>
        <v>136</v>
      </c>
      <c r="H41" s="133">
        <f>IF(D39=0,IF(H39-H40&gt;0,H39-H40+D40,0),IF(D39-D40&lt;0,D40-D39+H40,0))</f>
        <v>24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750</v>
      </c>
      <c r="D42" s="159">
        <f>D33+D35+D39</f>
        <v>737</v>
      </c>
      <c r="E42" s="162" t="s">
        <v>384</v>
      </c>
      <c r="F42" s="169" t="s">
        <v>385</v>
      </c>
      <c r="G42" s="159">
        <f>G39+G33</f>
        <v>750</v>
      </c>
      <c r="H42" s="159">
        <f>H39+H33</f>
        <v>737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873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869</v>
      </c>
      <c r="D50" s="537" t="s">
        <v>867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22">
      <pane ySplit="1" topLeftCell="A19" activePane="bottomLeft" state="split"/>
      <selection pane="topLeft" activeCell="D15" activeCellId="1" sqref="C43:G44 D15"/>
      <selection pane="bottomLeft" activeCell="C23" sqref="C23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41729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858</v>
      </c>
      <c r="D10" s="214">
        <v>945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-349</v>
      </c>
      <c r="D11" s="214">
        <v>-323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-354</v>
      </c>
      <c r="D13" s="214">
        <v>-335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-85</v>
      </c>
      <c r="D14" s="214">
        <v>-98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-8</v>
      </c>
      <c r="D15" s="214">
        <v>-23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11</v>
      </c>
      <c r="D16" s="214">
        <v>15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>
        <v>-3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-2</v>
      </c>
      <c r="D19" s="214">
        <v>10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71</v>
      </c>
      <c r="D20" s="210">
        <f>SUM(D10:D19)</f>
        <v>188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-108</v>
      </c>
      <c r="D22" s="214">
        <v>-254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17</v>
      </c>
      <c r="D23" s="214">
        <v>1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/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/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/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/>
      <c r="D27" s="214"/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>
        <v>393</v>
      </c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/>
      <c r="D31" s="214"/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-91</v>
      </c>
      <c r="D32" s="210">
        <f>SUM(D22:D31)</f>
        <v>140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>
        <v>-24</v>
      </c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>
        <v>-14</v>
      </c>
      <c r="D38" s="214">
        <v>-13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-14</v>
      </c>
      <c r="D42" s="210">
        <f>SUM(D34:D41)</f>
        <v>-37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-34</v>
      </c>
      <c r="D43" s="210">
        <f>D42+D32+D20</f>
        <v>291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1000</v>
      </c>
      <c r="D44" s="225">
        <v>638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966</v>
      </c>
      <c r="D45" s="210">
        <f>D44+D43</f>
        <v>929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966</v>
      </c>
      <c r="D46" s="226">
        <v>929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874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866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B7">
      <pane ySplit="1" topLeftCell="A1" activePane="bottomLeft" state="split"/>
      <selection pane="topLeft" activeCell="I16" activeCellId="1" sqref="C43:G44 I16"/>
      <selection pane="bottomLeft" activeCell="J16" sqref="J16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46" t="s">
        <v>468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47" t="str">
        <f>'справка _1_БАЛАНС'!E3</f>
        <v>Инвестор.БГ АД</v>
      </c>
      <c r="C3" s="547"/>
      <c r="D3" s="547"/>
      <c r="E3" s="547"/>
      <c r="F3" s="547"/>
      <c r="G3" s="547"/>
      <c r="H3" s="547"/>
      <c r="I3" s="547"/>
      <c r="J3" s="239"/>
      <c r="K3" s="548" t="s">
        <v>3</v>
      </c>
      <c r="L3" s="548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242"/>
      <c r="K4" s="549" t="s">
        <v>5</v>
      </c>
      <c r="L4" s="549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45">
        <f>'справка _1_БАЛАНС'!E5</f>
        <v>41729</v>
      </c>
      <c r="C5" s="545"/>
      <c r="D5" s="545"/>
      <c r="E5" s="545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51" t="s">
        <v>470</v>
      </c>
      <c r="E6" s="551"/>
      <c r="F6" s="551"/>
      <c r="G6" s="551"/>
      <c r="H6" s="551"/>
      <c r="I6" s="552" t="s">
        <v>471</v>
      </c>
      <c r="J6" s="552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53" t="s">
        <v>477</v>
      </c>
      <c r="G7" s="553"/>
      <c r="H7" s="553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1802</v>
      </c>
      <c r="J11" s="276">
        <f>'справка _1_БАЛАНС'!H29+'справка _1_БАЛАНС'!H32</f>
        <v>0</v>
      </c>
      <c r="K11" s="277"/>
      <c r="L11" s="278">
        <f>SUM(C11:K11)</f>
        <v>7564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1802</v>
      </c>
      <c r="J15" s="284">
        <f t="shared" si="2"/>
        <v>0</v>
      </c>
      <c r="K15" s="284">
        <f t="shared" si="2"/>
        <v>0</v>
      </c>
      <c r="L15" s="278">
        <f t="shared" si="1"/>
        <v>7564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0</v>
      </c>
      <c r="J16" s="290">
        <f>+'справка _1_БАЛАНС'!G32</f>
        <v>-136</v>
      </c>
      <c r="K16" s="277"/>
      <c r="L16" s="278">
        <f t="shared" si="1"/>
        <v>-136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837</v>
      </c>
      <c r="I29" s="280">
        <f t="shared" si="6"/>
        <v>1802</v>
      </c>
      <c r="J29" s="280">
        <f t="shared" si="6"/>
        <v>-136</v>
      </c>
      <c r="K29" s="280">
        <f t="shared" si="6"/>
        <v>0</v>
      </c>
      <c r="L29" s="278">
        <f t="shared" si="1"/>
        <v>7428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837</v>
      </c>
      <c r="I32" s="280">
        <f t="shared" si="7"/>
        <v>1802</v>
      </c>
      <c r="J32" s="280">
        <f t="shared" si="7"/>
        <v>-136</v>
      </c>
      <c r="K32" s="280">
        <f t="shared" si="7"/>
        <v>0</v>
      </c>
      <c r="L32" s="278">
        <f t="shared" si="1"/>
        <v>7428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54" t="s">
        <v>530</v>
      </c>
      <c r="B35" s="554"/>
      <c r="C35" s="554"/>
      <c r="D35" s="554"/>
      <c r="E35" s="554"/>
      <c r="F35" s="554"/>
      <c r="G35" s="554"/>
      <c r="H35" s="554"/>
      <c r="I35" s="554"/>
      <c r="J35" s="554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875</v>
      </c>
      <c r="B38" s="299"/>
      <c r="C38" s="300"/>
      <c r="D38" s="550" t="s">
        <v>388</v>
      </c>
      <c r="E38" s="550"/>
      <c r="F38" s="550" t="s">
        <v>389</v>
      </c>
      <c r="G38" s="550"/>
      <c r="H38" s="550"/>
      <c r="I38" s="550"/>
      <c r="J38" s="301" t="s">
        <v>868</v>
      </c>
      <c r="K38" s="300"/>
      <c r="L38" s="550" t="s">
        <v>867</v>
      </c>
      <c r="M38" s="550"/>
      <c r="N38" s="283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J10">
      <pane ySplit="1" topLeftCell="A6" activePane="bottomLeft" state="split"/>
      <selection pane="topLeft" activeCell="R1" activeCellId="1" sqref="C43:G44 R1"/>
      <selection pane="bottomLeft" activeCell="M13" sqref="M13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57" t="s">
        <v>531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303"/>
      <c r="N1" s="303"/>
      <c r="O1" s="303"/>
      <c r="P1" s="303"/>
      <c r="Q1" s="303"/>
      <c r="R1" s="303"/>
    </row>
    <row r="2" spans="1:18" ht="16.5" customHeight="1">
      <c r="A2" s="558" t="s">
        <v>392</v>
      </c>
      <c r="B2" s="558"/>
      <c r="C2" s="559" t="str">
        <f>'справка _1_БАЛАНС'!E3</f>
        <v>Инвестор.БГ АД</v>
      </c>
      <c r="D2" s="559"/>
      <c r="E2" s="559"/>
      <c r="F2" s="559"/>
      <c r="G2" s="559"/>
      <c r="H2" s="559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58" t="s">
        <v>6</v>
      </c>
      <c r="B3" s="558"/>
      <c r="C3" s="560">
        <f>'справка _1_БАЛАНС'!E5</f>
        <v>41729</v>
      </c>
      <c r="D3" s="560"/>
      <c r="E3" s="560"/>
      <c r="F3" s="307"/>
      <c r="G3" s="307"/>
      <c r="H3" s="307"/>
      <c r="I3" s="307"/>
      <c r="J3" s="307"/>
      <c r="K3" s="307"/>
      <c r="L3" s="307"/>
      <c r="M3" s="556" t="s">
        <v>5</v>
      </c>
      <c r="N3" s="556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5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5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61" t="s">
        <v>549</v>
      </c>
      <c r="B7" s="561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113</v>
      </c>
      <c r="E13" s="322"/>
      <c r="F13" s="322">
        <v>65</v>
      </c>
      <c r="G13" s="323">
        <f t="shared" si="2"/>
        <v>48</v>
      </c>
      <c r="H13" s="324"/>
      <c r="I13" s="324"/>
      <c r="J13" s="323">
        <f t="shared" si="3"/>
        <v>48</v>
      </c>
      <c r="K13" s="324">
        <v>85</v>
      </c>
      <c r="L13" s="324">
        <v>3</v>
      </c>
      <c r="M13" s="324">
        <v>40</v>
      </c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151</v>
      </c>
      <c r="E14" s="322"/>
      <c r="F14" s="322"/>
      <c r="G14" s="323">
        <f t="shared" si="2"/>
        <v>151</v>
      </c>
      <c r="H14" s="324"/>
      <c r="I14" s="324"/>
      <c r="J14" s="323">
        <f t="shared" si="3"/>
        <v>151</v>
      </c>
      <c r="K14" s="324">
        <v>105</v>
      </c>
      <c r="L14" s="324">
        <v>7</v>
      </c>
      <c r="M14" s="324"/>
      <c r="N14" s="323">
        <f t="shared" si="4"/>
        <v>112</v>
      </c>
      <c r="O14" s="324"/>
      <c r="P14" s="324"/>
      <c r="Q14" s="323">
        <f t="shared" si="0"/>
        <v>112</v>
      </c>
      <c r="R14" s="323">
        <f t="shared" si="1"/>
        <v>39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177</v>
      </c>
      <c r="E16" s="322">
        <v>1</v>
      </c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150</v>
      </c>
      <c r="L16" s="324">
        <v>7</v>
      </c>
      <c r="M16" s="324"/>
      <c r="N16" s="323">
        <f t="shared" si="4"/>
        <v>157</v>
      </c>
      <c r="O16" s="324"/>
      <c r="P16" s="324"/>
      <c r="Q16" s="323">
        <f aca="true" t="shared" si="5" ref="Q16:Q25">N16+O16-P16</f>
        <v>157</v>
      </c>
      <c r="R16" s="323">
        <f aca="true" t="shared" si="6" ref="R16:R25">J16-Q16</f>
        <v>21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441</v>
      </c>
      <c r="E17" s="336">
        <f>SUM(E9:E16)</f>
        <v>1</v>
      </c>
      <c r="F17" s="336">
        <f>SUM(F9:F16)</f>
        <v>65</v>
      </c>
      <c r="G17" s="323">
        <f t="shared" si="2"/>
        <v>377</v>
      </c>
      <c r="H17" s="337">
        <f>SUM(H9:H16)</f>
        <v>0</v>
      </c>
      <c r="I17" s="337">
        <f>SUM(I9:I16)</f>
        <v>0</v>
      </c>
      <c r="J17" s="323">
        <f t="shared" si="3"/>
        <v>377</v>
      </c>
      <c r="K17" s="337">
        <f>SUM(K9:K16)</f>
        <v>340</v>
      </c>
      <c r="L17" s="337">
        <f>SUM(L9:L16)</f>
        <v>17</v>
      </c>
      <c r="M17" s="337">
        <f>SUM(M9:M16)</f>
        <v>40</v>
      </c>
      <c r="N17" s="323">
        <f t="shared" si="4"/>
        <v>317</v>
      </c>
      <c r="O17" s="337">
        <f>SUM(O9:O16)</f>
        <v>0</v>
      </c>
      <c r="P17" s="337">
        <f>SUM(P9:P16)</f>
        <v>0</v>
      </c>
      <c r="Q17" s="323">
        <f t="shared" si="5"/>
        <v>317</v>
      </c>
      <c r="R17" s="323">
        <f t="shared" si="6"/>
        <v>60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4684</v>
      </c>
      <c r="E21" s="322">
        <v>104</v>
      </c>
      <c r="F21" s="322"/>
      <c r="G21" s="323">
        <f t="shared" si="2"/>
        <v>4788</v>
      </c>
      <c r="H21" s="324"/>
      <c r="I21" s="324"/>
      <c r="J21" s="323">
        <f t="shared" si="3"/>
        <v>4788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4788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648</v>
      </c>
      <c r="E22" s="322">
        <v>3</v>
      </c>
      <c r="F22" s="322"/>
      <c r="G22" s="323">
        <f t="shared" si="2"/>
        <v>651</v>
      </c>
      <c r="H22" s="324"/>
      <c r="I22" s="324"/>
      <c r="J22" s="323">
        <f t="shared" si="3"/>
        <v>651</v>
      </c>
      <c r="K22" s="324">
        <v>404</v>
      </c>
      <c r="L22" s="324">
        <v>22</v>
      </c>
      <c r="M22" s="324"/>
      <c r="N22" s="323">
        <f t="shared" si="4"/>
        <v>426</v>
      </c>
      <c r="O22" s="324"/>
      <c r="P22" s="324"/>
      <c r="Q22" s="323">
        <f t="shared" si="5"/>
        <v>426</v>
      </c>
      <c r="R22" s="323">
        <f t="shared" si="6"/>
        <v>225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/>
      <c r="E24" s="322"/>
      <c r="F24" s="322"/>
      <c r="G24" s="323">
        <f t="shared" si="2"/>
        <v>0</v>
      </c>
      <c r="H24" s="324"/>
      <c r="I24" s="324"/>
      <c r="J24" s="323">
        <f t="shared" si="3"/>
        <v>0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5332</v>
      </c>
      <c r="E25" s="347">
        <f aca="true" t="shared" si="7" ref="E25:P25">SUM(E21:E24)</f>
        <v>107</v>
      </c>
      <c r="F25" s="347">
        <f t="shared" si="7"/>
        <v>0</v>
      </c>
      <c r="G25" s="348">
        <f t="shared" si="2"/>
        <v>5439</v>
      </c>
      <c r="H25" s="349">
        <f t="shared" si="7"/>
        <v>0</v>
      </c>
      <c r="I25" s="349">
        <f t="shared" si="7"/>
        <v>0</v>
      </c>
      <c r="J25" s="348">
        <f t="shared" si="3"/>
        <v>5439</v>
      </c>
      <c r="K25" s="349">
        <f t="shared" si="7"/>
        <v>404</v>
      </c>
      <c r="L25" s="349">
        <f t="shared" si="7"/>
        <v>22</v>
      </c>
      <c r="M25" s="349">
        <f t="shared" si="7"/>
        <v>0</v>
      </c>
      <c r="N25" s="348">
        <f t="shared" si="4"/>
        <v>426</v>
      </c>
      <c r="O25" s="349">
        <f t="shared" si="7"/>
        <v>0</v>
      </c>
      <c r="P25" s="349">
        <f t="shared" si="7"/>
        <v>0</v>
      </c>
      <c r="Q25" s="348">
        <f t="shared" si="5"/>
        <v>426</v>
      </c>
      <c r="R25" s="348">
        <f t="shared" si="6"/>
        <v>5013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1329</v>
      </c>
      <c r="E27" s="358">
        <f aca="true" t="shared" si="8" ref="E27:P27">SUM(E28:E31)</f>
        <v>0</v>
      </c>
      <c r="F27" s="358">
        <f t="shared" si="8"/>
        <v>0</v>
      </c>
      <c r="G27" s="359">
        <f t="shared" si="2"/>
        <v>1329</v>
      </c>
      <c r="H27" s="360">
        <f t="shared" si="8"/>
        <v>0</v>
      </c>
      <c r="I27" s="360">
        <f t="shared" si="8"/>
        <v>0</v>
      </c>
      <c r="J27" s="359">
        <f t="shared" si="3"/>
        <v>1329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1329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1325</v>
      </c>
      <c r="E28" s="322"/>
      <c r="F28" s="322"/>
      <c r="G28" s="323">
        <f t="shared" si="2"/>
        <v>1325</v>
      </c>
      <c r="H28" s="324"/>
      <c r="I28" s="324"/>
      <c r="J28" s="323">
        <f t="shared" si="3"/>
        <v>1325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1325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1329</v>
      </c>
      <c r="E38" s="336">
        <f aca="true" t="shared" si="12" ref="E38:P38">E27+E32+E37</f>
        <v>0</v>
      </c>
      <c r="F38" s="336">
        <f t="shared" si="12"/>
        <v>0</v>
      </c>
      <c r="G38" s="323">
        <f t="shared" si="2"/>
        <v>1329</v>
      </c>
      <c r="H38" s="337">
        <f t="shared" si="12"/>
        <v>0</v>
      </c>
      <c r="I38" s="337">
        <f t="shared" si="12"/>
        <v>0</v>
      </c>
      <c r="J38" s="323">
        <f t="shared" si="3"/>
        <v>1329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1329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7102</v>
      </c>
      <c r="E40" s="367">
        <f>E17+E18+E19+E25+E38+E39</f>
        <v>108</v>
      </c>
      <c r="F40" s="367">
        <f aca="true" t="shared" si="13" ref="F40:R40">F17+F18+F19+F25+F38+F39</f>
        <v>65</v>
      </c>
      <c r="G40" s="367">
        <f t="shared" si="13"/>
        <v>7145</v>
      </c>
      <c r="H40" s="367">
        <f t="shared" si="13"/>
        <v>0</v>
      </c>
      <c r="I40" s="367">
        <f t="shared" si="13"/>
        <v>0</v>
      </c>
      <c r="J40" s="367">
        <f t="shared" si="13"/>
        <v>7145</v>
      </c>
      <c r="K40" s="367">
        <f t="shared" si="13"/>
        <v>744</v>
      </c>
      <c r="L40" s="367">
        <f t="shared" si="13"/>
        <v>39</v>
      </c>
      <c r="M40" s="367">
        <f t="shared" si="13"/>
        <v>40</v>
      </c>
      <c r="N40" s="367">
        <f t="shared" si="13"/>
        <v>743</v>
      </c>
      <c r="O40" s="367">
        <f t="shared" si="13"/>
        <v>0</v>
      </c>
      <c r="P40" s="367">
        <f t="shared" si="13"/>
        <v>0</v>
      </c>
      <c r="Q40" s="367">
        <f t="shared" si="13"/>
        <v>743</v>
      </c>
      <c r="R40" s="367">
        <f t="shared" si="13"/>
        <v>6402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874</v>
      </c>
      <c r="C44" s="373"/>
      <c r="D44" s="374"/>
      <c r="E44" s="374"/>
      <c r="F44" s="374"/>
      <c r="G44" s="368"/>
      <c r="H44" s="562" t="s">
        <v>621</v>
      </c>
      <c r="I44" s="562"/>
      <c r="J44" s="562"/>
      <c r="K44" s="563" t="s">
        <v>389</v>
      </c>
      <c r="L44" s="563"/>
      <c r="M44" s="563"/>
      <c r="N44" s="563"/>
      <c r="O44" s="564" t="s">
        <v>866</v>
      </c>
      <c r="P44" s="564"/>
      <c r="Q44" s="564"/>
      <c r="R44" s="564"/>
    </row>
  </sheetData>
  <sheetProtection sheet="1" objects="1" scenarios="1"/>
  <mergeCells count="19"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O5:P5"/>
    <mergeCell ref="M3:N3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33" activePane="bottomLeft" state="split"/>
      <selection pane="topLeft" activeCell="A78" activeCellId="1" sqref="C43:G44 A78"/>
      <selection pane="bottomLeft" activeCell="C119" sqref="C119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41729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9</v>
      </c>
      <c r="D21" s="404"/>
      <c r="E21" s="405">
        <f t="shared" si="0"/>
        <v>9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72</v>
      </c>
      <c r="D24" s="411">
        <f>SUM(D25:D27)</f>
        <v>72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72</v>
      </c>
      <c r="D26" s="404">
        <v>72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409</v>
      </c>
      <c r="D28" s="404">
        <v>409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20</v>
      </c>
      <c r="D29" s="404">
        <v>20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67</v>
      </c>
      <c r="D38" s="416">
        <f>SUM(D39:D42)</f>
        <v>67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67</v>
      </c>
      <c r="D42" s="404">
        <v>67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582</v>
      </c>
      <c r="D43" s="408">
        <f>D24+D28+D29+D31+D30+D32+D33+D38</f>
        <v>582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591</v>
      </c>
      <c r="D44" s="418">
        <f>D43+D21+D19+D9</f>
        <v>582</v>
      </c>
      <c r="E44" s="414">
        <f>E43+E21+E19+E9</f>
        <v>9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76</v>
      </c>
      <c r="D71" s="416">
        <f>SUM(D72:D74)</f>
        <v>76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39</v>
      </c>
      <c r="D72" s="404">
        <v>39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>
        <v>37</v>
      </c>
      <c r="D74" s="404">
        <v>37</v>
      </c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326</v>
      </c>
      <c r="D85" s="408">
        <f>SUM(D86:D90)+D94</f>
        <v>326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68</v>
      </c>
      <c r="D87" s="404">
        <v>68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26</v>
      </c>
      <c r="D88" s="404">
        <v>26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150</v>
      </c>
      <c r="D89" s="404">
        <v>150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46</v>
      </c>
      <c r="D90" s="418">
        <f>SUM(D91:D93)</f>
        <v>46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33</v>
      </c>
      <c r="D92" s="404">
        <v>33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13</v>
      </c>
      <c r="D93" s="404">
        <v>13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36</v>
      </c>
      <c r="D94" s="404">
        <v>36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32</v>
      </c>
      <c r="D95" s="404">
        <v>32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434</v>
      </c>
      <c r="D96" s="408">
        <f>D85+D80+D75+D71+D95</f>
        <v>434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445</v>
      </c>
      <c r="D97" s="408">
        <f>D96+D68+D66</f>
        <v>434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875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866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A28" sqref="A28:I28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2" t="s">
        <v>795</v>
      </c>
      <c r="D3" s="572"/>
      <c r="E3" s="572"/>
      <c r="F3" s="572"/>
      <c r="G3" s="572"/>
      <c r="H3" s="447"/>
      <c r="I3" s="447"/>
    </row>
    <row r="4" spans="1:9" ht="15" customHeight="1">
      <c r="A4" s="451" t="s">
        <v>392</v>
      </c>
      <c r="B4" s="573" t="str">
        <f>'справка _1_БАЛАНС'!E3</f>
        <v>Инвестор.БГ АД</v>
      </c>
      <c r="C4" s="573"/>
      <c r="D4" s="573"/>
      <c r="E4" s="573"/>
      <c r="F4" s="573"/>
      <c r="G4" s="574" t="s">
        <v>3</v>
      </c>
      <c r="H4" s="574"/>
      <c r="I4" s="452">
        <f>'справка _1_БАЛАНС'!H3</f>
        <v>130277328</v>
      </c>
    </row>
    <row r="5" spans="1:9" ht="15" customHeight="1">
      <c r="A5" s="453" t="s">
        <v>6</v>
      </c>
      <c r="B5" s="575">
        <f>'справка _1_БАЛАНС'!E5</f>
        <v>41729</v>
      </c>
      <c r="C5" s="575"/>
      <c r="D5" s="575"/>
      <c r="E5" s="575"/>
      <c r="F5" s="575"/>
      <c r="G5" s="576" t="s">
        <v>5</v>
      </c>
      <c r="H5" s="576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82" t="s">
        <v>797</v>
      </c>
      <c r="D7" s="582"/>
      <c r="E7" s="582"/>
      <c r="F7" s="582" t="s">
        <v>798</v>
      </c>
      <c r="G7" s="582"/>
      <c r="H7" s="582"/>
      <c r="I7" s="582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77" t="s">
        <v>803</v>
      </c>
      <c r="H8" s="577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8" t="s">
        <v>831</v>
      </c>
      <c r="B28" s="578"/>
      <c r="C28" s="578"/>
      <c r="D28" s="578"/>
      <c r="E28" s="578"/>
      <c r="F28" s="578"/>
      <c r="G28" s="578"/>
      <c r="H28" s="578"/>
      <c r="I28" s="578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872</v>
      </c>
      <c r="B30" s="579"/>
      <c r="C30" s="579"/>
      <c r="D30" s="489" t="s">
        <v>832</v>
      </c>
      <c r="E30" s="580" t="s">
        <v>389</v>
      </c>
      <c r="F30" s="580"/>
      <c r="G30" s="580"/>
      <c r="H30" s="490" t="s">
        <v>390</v>
      </c>
      <c r="I30" s="581" t="s">
        <v>867</v>
      </c>
      <c r="J30" s="581"/>
    </row>
  </sheetData>
  <sheetProtection sheet="1" objects="1" scenarios="1"/>
  <mergeCells count="12">
    <mergeCell ref="A28:I28"/>
    <mergeCell ref="B30:C30"/>
    <mergeCell ref="E30:G30"/>
    <mergeCell ref="I30:J30"/>
    <mergeCell ref="C7:E7"/>
    <mergeCell ref="F7:I7"/>
    <mergeCell ref="C3:G3"/>
    <mergeCell ref="B4:F4"/>
    <mergeCell ref="G4:H4"/>
    <mergeCell ref="B5:F5"/>
    <mergeCell ref="G5:H5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A154" sqref="A154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41729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844</v>
      </c>
      <c r="B13" s="518"/>
      <c r="C13" s="519">
        <v>350</v>
      </c>
      <c r="D13" s="519">
        <v>100</v>
      </c>
      <c r="E13" s="519"/>
      <c r="F13" s="520">
        <f aca="true" t="shared" si="0" ref="F13:F26">C13-E13</f>
        <v>350</v>
      </c>
    </row>
    <row r="14" spans="1:6" ht="12.75">
      <c r="A14" s="517" t="s">
        <v>845</v>
      </c>
      <c r="B14" s="518"/>
      <c r="C14" s="519">
        <v>85</v>
      </c>
      <c r="D14" s="519">
        <v>100</v>
      </c>
      <c r="E14" s="519"/>
      <c r="F14" s="520">
        <f t="shared" si="0"/>
        <v>85</v>
      </c>
    </row>
    <row r="15" spans="1:6" ht="12.75">
      <c r="A15" s="517" t="s">
        <v>870</v>
      </c>
      <c r="B15" s="518"/>
      <c r="C15" s="519">
        <v>560</v>
      </c>
      <c r="D15" s="519">
        <v>80</v>
      </c>
      <c r="E15" s="519"/>
      <c r="F15" s="520">
        <f t="shared" si="0"/>
        <v>560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846</v>
      </c>
      <c r="C27" s="516">
        <f>SUM(C12:C26)</f>
        <v>1325</v>
      </c>
      <c r="D27" s="516"/>
      <c r="E27" s="516">
        <f>SUM(E12:E26)</f>
        <v>0</v>
      </c>
      <c r="F27" s="523">
        <f>SUM(F12:F26)</f>
        <v>1325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847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848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849</v>
      </c>
      <c r="B45" s="525"/>
      <c r="C45" s="516"/>
      <c r="D45" s="516"/>
      <c r="E45" s="516"/>
      <c r="F45" s="523"/>
    </row>
    <row r="46" spans="1:6" ht="12.75">
      <c r="A46" s="517" t="s">
        <v>854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859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851</v>
      </c>
      <c r="B61" s="522" t="s">
        <v>852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853</v>
      </c>
      <c r="B62" s="525"/>
      <c r="C62" s="516"/>
      <c r="D62" s="516"/>
      <c r="E62" s="516"/>
      <c r="F62" s="523"/>
    </row>
    <row r="63" spans="1:6" ht="12.75">
      <c r="A63" s="517" t="s">
        <v>850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871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855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856</v>
      </c>
      <c r="B79" s="522" t="s">
        <v>857</v>
      </c>
      <c r="C79" s="516">
        <f>C78+C61+C44+C27</f>
        <v>1329</v>
      </c>
      <c r="D79" s="516"/>
      <c r="E79" s="516">
        <f>E78+E61+E44+E27</f>
        <v>0</v>
      </c>
      <c r="F79" s="523">
        <f>F78+F61+F44+F27</f>
        <v>1329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858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854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859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860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847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861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849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851</v>
      </c>
      <c r="B131" s="522" t="s">
        <v>862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853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863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864</v>
      </c>
      <c r="B149" s="522" t="s">
        <v>865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875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866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2014-04-30T11:03:15Z</cp:lastPrinted>
  <dcterms:created xsi:type="dcterms:W3CDTF">2013-04-23T14:34:42Z</dcterms:created>
  <dcterms:modified xsi:type="dcterms:W3CDTF">2014-04-30T12:44:41Z</dcterms:modified>
  <cp:category/>
  <cp:version/>
  <cp:contentType/>
  <cp:contentStatus/>
</cp:coreProperties>
</file>