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<sst xmlns="http://schemas.openxmlformats.org/spreadsheetml/2006/main" count="1059" uniqueCount="874">
  <si>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</si>
  <si>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</si>
  <si>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</si>
  <si>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</si>
  <si>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</si>
  <si>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</si>
  <si>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</si>
  <si>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</si>
  <si>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</si>
  <si>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</si>
  <si>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</si>
  <si>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</si>
  <si>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</si>
  <si>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</si>
  <si>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</si>
  <si>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</si>
  <si>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</si>
  <si>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</si>
  <si>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</si>
  <si>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</si>
  <si>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</si>
  <si>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</si>
  <si>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</si>
  <si>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</si>
  <si>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</si>
  <si>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</si>
  <si>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</si>
  <si>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</si>
  <si>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</si>
  <si>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</si>
  <si>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</si>
  <si>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</si>
  <si>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</si>
  <si>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</si>
  <si>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</si>
  <si>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</si>
  <si>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</si>
  <si>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</si>
  <si>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</si>
  <si>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</si>
  <si>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</si>
  <si>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</si>
  <si>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</si>
  <si>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</si>
  <si>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</si>
  <si>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</si>
  <si>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</si>
  <si>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</si>
  <si>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</si>
  <si>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</si>
  <si>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</si>
  <si>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</si>
  <si>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</si>
  <si>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</si>
  <si>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</si>
  <si>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</si>
  <si>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</si>
  <si>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</si>
  <si>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</si>
  <si>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</si>
  <si>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</si>
  <si>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</si>
  <si>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</si>
  <si>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</si>
  <si>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</si>
  <si>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</si>
  <si>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</si>
  <si>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</si>
  <si>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</si>
  <si>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</si>
  <si>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</si>
  <si>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</si>
  <si>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</si>
  <si>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</si>
  <si>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</si>
  <si>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</si>
  <si>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</si>
  <si>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</si>
  <si>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</si>
  <si>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</si>
  <si>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</si>
  <si>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</si>
  <si>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</si>
  <si>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</si>
  <si>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</si>
  <si>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</si>
  <si>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</si>
  <si>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</si>
  <si>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</si>
  <si>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</si>
  <si>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</si>
  <si>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</si>
  <si>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</si>
  <si>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</si>
  <si>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</si>
  <si>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</si>
  <si>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</si>
  <si>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</si>
  <si>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</si>
  <si>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</si>
  <si>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</si>
  <si>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</si>
  <si>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</si>
  <si>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</si>
  <si>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</si>
  <si>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</si>
  <si>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</si>
  <si>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</si>
  <si>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</si>
  <si>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</si>
  <si>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</si>
  <si>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</si>
  <si>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</si>
  <si>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</si>
  <si>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</si>
  <si>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</si>
  <si>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</si>
  <si>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</si>
  <si>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</si>
  <si>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</si>
  <si>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</si>
  <si>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</si>
  <si>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</si>
  <si>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</si>
  <si>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</si>
  <si>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</si>
  <si>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</si>
  <si>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</si>
  <si>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</si>
  <si>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</si>
  <si>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</si>
  <si>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</si>
  <si>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</si>
  <si>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</si>
  <si>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</si>
  <si>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</si>
  <si>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</si>
  <si>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</si>
  <si>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</si>
  <si>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</si>
  <si>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</si>
  <si>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</si>
  <si>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</si>
  <si>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</si>
  <si>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</si>
  <si>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</si>
  <si>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</si>
  <si>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</si>
  <si>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</si>
  <si>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</si>
  <si>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</si>
  <si>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</si>
  <si>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</si>
  <si>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</si>
  <si>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</si>
  <si>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</si>
  <si>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</si>
  <si>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</si>
  <si>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</si>
  <si>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</si>
  <si>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</si>
  <si>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</si>
  <si>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</si>
  <si>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</si>
  <si>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</si>
  <si>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</si>
  <si>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</si>
  <si>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</si>
  <si>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</si>
  <si>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</si>
  <si>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</si>
  <si>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</si>
  <si>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</si>
  <si>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</si>
  <si>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</si>
  <si>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</si>
  <si>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</si>
  <si>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</si>
  <si>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</si>
  <si>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</si>
  <si>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</si>
  <si>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</si>
  <si>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</si>
  <si>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</si>
  <si>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</si>
  <si>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</si>
  <si>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</si>
  <si>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</si>
  <si>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</si>
  <si>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</si>
  <si>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</si>
  <si>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</si>
  <si>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</si>
  <si>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</si>
  <si>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</si>
  <si>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</si>
  <si>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</si>
  <si>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</si>
  <si>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</si>
  <si>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</si>
  <si>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</si>
  <si>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</si>
  <si>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</si>
  <si>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</si>
  <si>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</si>
  <si>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</si>
  <si>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</si>
  <si>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</si>
  <si>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</si>
  <si>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</si>
  <si>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</si>
  <si>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</si>
  <si>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</si>
  <si>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</si>
  <si>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</si>
  <si>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</si>
  <si>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</si>
  <si>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</si>
  <si>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</si>
  <si>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</si>
  <si>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</si>
  <si>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</si>
  <si>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</si>
  <si>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</si>
  <si>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</si>
  <si>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</si>
  <si>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</si>
  <si>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</si>
  <si>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</si>
  <si>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</si>
  <si>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</si>
  <si>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</si>
  <si>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</si>
  <si>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</si>
  <si>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</si>
  <si>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</si>
  <si>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</si>
  <si>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</si>
  <si>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</si>
  <si>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</si>
  <si>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</si>
  <si>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</si>
  <si>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</si>
  <si>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</si>
  <si>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</si>
  <si>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</si>
  <si>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</si>
  <si>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</si>
  <si>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</si>
  <si>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</si>
  <si>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</si>
  <si>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</si>
  <si>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</si>
  <si>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</si>
  <si>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</si>
  <si>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</si>
  <si>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</si>
  <si>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</si>
  <si>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</si>
  <si>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</si>
  <si>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</si>
  <si>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</si>
  <si>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</si>
  <si>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</si>
  <si>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</si>
  <si>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</si>
  <si>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</si>
  <si>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</si>
  <si>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</si>
  <si>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</si>
  <si>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</si>
  <si>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</si>
  <si>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</si>
  <si>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</si>
  <si>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</si>
  <si>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</si>
  <si>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</si>
  <si>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</si>
  <si>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</si>
  <si>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</si>
  <si>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</si>
  <si>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</si>
  <si>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</si>
  <si>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</si>
  <si>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</si>
  <si>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</si>
  <si>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</si>
  <si>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</si>
  <si>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</si>
  <si>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</si>
  <si>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</si>
  <si>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</si>
  <si>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</si>
  <si>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</si>
  <si>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</si>
  <si>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</si>
  <si>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</si>
  <si>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</si>
  <si>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</si>
  <si>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</si>
  <si>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</si>
  <si>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</si>
  <si>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</si>
  <si>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</si>
  <si>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</si>
  <si>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</si>
  <si>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</si>
  <si>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</si>
  <si>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</si>
  <si>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</si>
  <si>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</si>
  <si>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</si>
  <si>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</si>
  <si>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</si>
  <si>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</si>
  <si>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</si>
  <si>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</si>
  <si>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</si>
  <si>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</si>
  <si>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</si>
  <si>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</si>
  <si>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</si>
  <si>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</si>
  <si>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</si>
  <si>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</si>
  <si>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</si>
  <si>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</si>
  <si>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</si>
  <si>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</si>
  <si>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</si>
  <si>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</si>
  <si>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</si>
  <si>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</si>
  <si>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</si>
  <si>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</si>
  <si>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</si>
  <si>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</si>
  <si>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</si>
  <si>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</si>
  <si>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</si>
  <si>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</si>
  <si>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</si>
  <si>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</si>
  <si>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</si>
  <si>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</si>
  <si>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</si>
  <si>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</si>
  <si>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</si>
  <si>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</si>
  <si>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</si>
  <si>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</si>
  <si>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</si>
  <si>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</si>
  <si>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</si>
  <si>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</si>
  <si>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</si>
  <si>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</si>
  <si>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</si>
  <si>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</si>
  <si>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</si>
  <si>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</si>
  <si>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</si>
  <si>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</si>
  <si>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</si>
  <si>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</si>
  <si>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</si>
  <si>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</si>
  <si>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</si>
  <si>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</si>
  <si>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</si>
  <si>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</si>
  <si>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</si>
  <si>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</si>
  <si>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</si>
  <si>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</si>
  <si>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</si>
  <si>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</si>
  <si>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</si>
  <si>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</si>
  <si>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</si>
  <si>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</si>
  <si>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</si>
  <si>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</si>
  <si>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</si>
  <si>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</si>
  <si>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</si>
  <si>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</si>
  <si>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</si>
  <si>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</si>
  <si>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</si>
  <si>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</si>
  <si>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</si>
  <si>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</si>
  <si>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</si>
  <si>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</si>
  <si>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</si>
  <si>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</si>
  <si>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</si>
  <si>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</si>
  <si>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</si>
  <si>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</si>
  <si>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</si>
  <si>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</si>
  <si>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</si>
  <si>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</si>
  <si>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</si>
  <si>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</si>
  <si>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</si>
  <si>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</si>
  <si>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</si>
  <si>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</si>
  <si>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</si>
  <si>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</si>
  <si>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</si>
  <si>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</si>
  <si>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</si>
  <si>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</si>
  <si>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</si>
  <si>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</si>
  <si>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</si>
  <si>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</si>
  <si>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</si>
  <si>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</si>
  <si>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</si>
  <si>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</si>
  <si>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</si>
  <si>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</si>
  <si>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</si>
  <si>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</si>
  <si>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</si>
  <si>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</si>
  <si>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</si>
  <si>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</si>
  <si>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</si>
  <si>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</si>
  <si>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</si>
  <si>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</si>
  <si>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</si>
  <si>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</si>
  <si>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</si>
  <si>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</si>
  <si>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</si>
  <si>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</si>
  <si>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</si>
  <si>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</si>
  <si>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</si>
  <si>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</si>
  <si>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</si>
  <si>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</si>
  <si>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</si>
  <si>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</si>
  <si>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</si>
  <si>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</si>
  <si>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</si>
  <si>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</si>
  <si>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</si>
  <si>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</si>
  <si>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</si>
  <si>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</si>
  <si>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</si>
  <si>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</si>
  <si>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</si>
  <si>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</si>
  <si>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</si>
  <si>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</si>
  <si>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</si>
  <si>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</si>
  <si>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</si>
  <si>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</si>
  <si>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</si>
  <si>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</si>
  <si>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</si>
  <si>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</si>
  <si>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</si>
  <si>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</si>
  <si>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</si>
  <si>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</si>
  <si>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</si>
  <si>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</si>
  <si>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</si>
  <si>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</si>
  <si>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</si>
  <si>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</si>
  <si>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</si>
  <si>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</si>
  <si>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</si>
  <si>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</si>
  <si>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</si>
  <si>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</si>
  <si>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</si>
  <si>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</si>
  <si>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</si>
  <si>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</si>
  <si>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</si>
  <si>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</si>
  <si>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</si>
  <si>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</si>
  <si>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</si>
  <si>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</si>
  <si>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</si>
  <si>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</si>
  <si>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</si>
  <si>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</si>
  <si>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</si>
  <si>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</si>
  <si>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</si>
  <si>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</si>
  <si>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</si>
  <si>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</si>
  <si>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</si>
  <si>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</si>
  <si>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</si>
  <si>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</si>
  <si>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</si>
  <si>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</si>
  <si>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</si>
  <si>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</si>
  <si>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</si>
  <si>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</si>
  <si>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</si>
  <si>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</si>
  <si>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</si>
  <si>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</si>
  <si>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</si>
  <si>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</si>
  <si>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</si>
  <si>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</si>
  <si>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</si>
  <si>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</si>
  <si>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</si>
  <si>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</si>
  <si>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</si>
  <si>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</si>
  <si>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</si>
  <si>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</si>
  <si>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</si>
  <si>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</si>
  <si>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</si>
  <si>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</si>
  <si>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</si>
  <si>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</si>
  <si>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</si>
  <si>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</si>
  <si>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</si>
  <si>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</si>
  <si>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</si>
  <si>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</si>
  <si>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</si>
  <si>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</si>
  <si>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</si>
  <si>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</si>
  <si>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</si>
  <si>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</si>
  <si>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</si>
  <si>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</si>
  <si>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</si>
  <si>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</si>
  <si>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</si>
  <si>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</si>
  <si>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</si>
  <si>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</si>
  <si>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</si>
  <si>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</si>
  <si>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</si>
  <si>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</si>
  <si>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</si>
  <si>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</si>
  <si>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</si>
  <si>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</si>
  <si>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</si>
  <si>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</si>
  <si>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</si>
  <si>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</si>
  <si>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</si>
  <si>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</si>
  <si>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</si>
  <si>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</si>
  <si>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</si>
  <si>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</si>
  <si>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</si>
  <si>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</si>
  <si>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</si>
  <si>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</si>
  <si>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</si>
  <si>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</si>
  <si>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</si>
  <si>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</si>
  <si>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</si>
  <si>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</si>
  <si>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</si>
  <si>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</si>
  <si>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</si>
  <si>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</si>
  <si>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</si>
  <si>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</si>
  <si>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</si>
  <si>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</si>
  <si>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</si>
  <si>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</si>
  <si>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</si>
  <si>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</si>
  <si>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</si>
  <si>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</si>
  <si>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</si>
  <si>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</si>
  <si>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</si>
  <si>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</si>
  <si>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</si>
  <si>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</si>
  <si>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</si>
  <si>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</si>
  <si>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</si>
  <si>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</si>
  <si>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</si>
  <si>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</si>
  <si>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</si>
  <si>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</si>
  <si>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</si>
  <si>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</si>
  <si>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</si>
  <si>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</si>
  <si>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</si>
  <si>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</si>
  <si>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</si>
  <si>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</si>
  <si>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</si>
  <si>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</si>
  <si>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</si>
  <si>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</si>
  <si>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</si>
  <si>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</si>
  <si>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</si>
  <si>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</si>
  <si>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</si>
  <si>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</si>
  <si>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</si>
  <si>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</si>
  <si>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</si>
  <si>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</si>
  <si>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</si>
  <si>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</si>
  <si>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</si>
  <si>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</si>
  <si>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</si>
  <si>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</si>
  <si>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</si>
  <si>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</si>
  <si>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</si>
  <si>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</si>
  <si>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</si>
  <si>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</si>
  <si>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</si>
  <si>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</si>
  <si>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</si>
  <si>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</si>
  <si>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</si>
  <si>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</si>
  <si>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</si>
  <si>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</si>
  <si>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</si>
  <si>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</si>
  <si>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</si>
  <si>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</si>
  <si>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</si>
  <si>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</si>
  <si>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</si>
  <si>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</si>
  <si>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</si>
  <si>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</si>
  <si>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</si>
  <si>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</si>
  <si>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</si>
  <si>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</si>
  <si>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</si>
  <si>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</si>
  <si>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</si>
  <si>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</si>
  <si>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</si>
  <si>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</si>
  <si>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</si>
  <si>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</si>
  <si>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</si>
  <si>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</si>
  <si>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</si>
  <si>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</si>
  <si>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</si>
  <si>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</si>
  <si>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</si>
  <si>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</si>
  <si>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</si>
  <si>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</si>
  <si>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</si>
  <si>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</si>
  <si>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</si>
  <si>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</si>
  <si>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</si>
  <si>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</si>
  <si>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</si>
  <si>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</si>
  <si>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</si>
  <si>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</si>
  <si>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</si>
  <si>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</si>
  <si>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</si>
  <si>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</si>
  <si>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</si>
  <si>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</si>
  <si>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</si>
  <si>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</si>
  <si>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</si>
  <si>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</si>
  <si>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</si>
  <si>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</si>
  <si>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</si>
  <si>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</si>
  <si>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</si>
  <si>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</si>
  <si>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</si>
  <si>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</si>
  <si>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</si>
  <si>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</si>
  <si>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</si>
  <si>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</si>
  <si>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</si>
  <si>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</si>
  <si>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</si>
  <si>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</si>
  <si>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</si>
  <si>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</si>
  <si>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</si>
  <si>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</si>
  <si>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</si>
  <si>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</si>
  <si>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</si>
  <si>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</si>
  <si>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</si>
  <si>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</si>
  <si>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</si>
  <si>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</si>
  <si>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</si>
  <si>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</si>
  <si>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</si>
  <si>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</si>
  <si>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</si>
  <si>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</si>
  <si>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</si>
  <si>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</si>
  <si>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</si>
  <si>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</si>
  <si>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</si>
  <si>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</si>
  <si>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</si>
  <si>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</si>
  <si>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</si>
  <si>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</si>
  <si>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</si>
  <si>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</si>
  <si>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</si>
  <si>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</si>
  <si>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</si>
  <si>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</si>
  <si>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</si>
  <si>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</si>
  <si>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</si>
  <si>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</si>
  <si>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</si>
  <si>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</si>
  <si>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</si>
  <si>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</si>
  <si>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</si>
  <si>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</si>
  <si>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</si>
  <si>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</si>
  <si>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</si>
  <si>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</si>
  <si>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</si>
  <si>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</si>
  <si>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</si>
  <si>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</si>
  <si>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</si>
  <si>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</si>
  <si>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</si>
  <si>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</si>
  <si>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</si>
  <si>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</si>
  <si>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</si>
  <si>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</si>
  <si>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</si>
  <si>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</si>
  <si>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</si>
  <si>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</si>
  <si>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</si>
  <si>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</si>
  <si>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</si>
  <si>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</si>
  <si>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</si>
  <si>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</si>
  <si>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</si>
  <si>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</si>
  <si>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</si>
  <si>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</si>
  <si>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</si>
  <si>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</si>
  <si>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</si>
  <si>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</si>
  <si>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</si>
  <si>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</si>
  <si>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</si>
  <si>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</si>
  <si>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</si>
  <si>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</si>
  <si>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</si>
  <si>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</si>
  <si>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</si>
  <si>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</si>
  <si>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</si>
  <si>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</si>
  <si>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</si>
  <si>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</si>
  <si>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</si>
  <si>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</si>
  <si>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</si>
  <si>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</si>
  <si>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</si>
  <si>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</si>
  <si>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</si>
  <si>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</si>
  <si>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</si>
  <si>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</si>
  <si>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</si>
  <si>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</si>
  <si>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</si>
  <si>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</si>
  <si>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</si>
  <si>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</si>
  <si>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</si>
  <si>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</si>
  <si>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</si>
  <si>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</si>
  <si>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</si>
  <si>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</si>
  <si>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</si>
  <si>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</si>
  <si>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</si>
  <si>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</si>
  <si>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</si>
  <si>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</si>
  <si>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</si>
  <si>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</si>
  <si>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</si>
  <si>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</si>
  <si>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</si>
  <si>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</si>
  <si>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</si>
  <si>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</si>
  <si>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</si>
  <si>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</si>
  <si>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</si>
  <si>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</si>
  <si>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</si>
  <si>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</si>
  <si>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</si>
  <si>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</si>
  <si>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</si>
  <si>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</si>
  <si>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</si>
  <si>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</si>
  <si>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03.2009 г.</t>
  </si>
  <si>
    <t>Дата на съставяне: 30.05.2009</t>
  </si>
  <si>
    <t xml:space="preserve">Дата на съставяне:      30.05.2009                                 </t>
  </si>
  <si>
    <t xml:space="preserve">Дата  на съставяне:30.05.2009                                                                                                                                </t>
  </si>
  <si>
    <t xml:space="preserve">Дата на съставяне: 30.05.2009                  </t>
  </si>
  <si>
    <t>Дата на съставяне:30.05.2009</t>
  </si>
  <si>
    <r>
      <t xml:space="preserve">Дата на съставяне: </t>
    </r>
    <r>
      <rPr>
        <sz val="10"/>
        <rFont val="Times New Roman"/>
        <family val="1"/>
      </rPr>
      <t xml:space="preserve">30.05.2009 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</si>
</sst>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A88">
      <selection activeCell="A106" sqref="A10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573" t="s">
        <v>864</v>
      </c>
      <c r="F3" s="217" t="s">
        <v>2</v>
      </c>
      <c r="G3" s="172"/>
      <c r="H3" s="574">
        <v>111028849</v>
      </c>
    </row>
    <row r="4" spans="1:8" ht="15">
      <c r="A4" s="582" t="s">
        <v>3</v>
      </c>
      <c r="B4" s="588"/>
      <c r="C4" s="588"/>
      <c r="D4" s="588"/>
      <c r="E4" s="573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3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6861</v>
      </c>
      <c r="D11" s="151">
        <v>6861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18918</v>
      </c>
      <c r="D12" s="151">
        <v>18640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f>33263-398</f>
        <v>32865</v>
      </c>
      <c r="D13" s="151">
        <v>33307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1753</v>
      </c>
      <c r="D14" s="151">
        <v>1769</v>
      </c>
      <c r="E14" s="243" t="s">
        <v>34</v>
      </c>
      <c r="F14" s="242" t="s">
        <v>35</v>
      </c>
      <c r="G14" s="316">
        <v>-728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2208</v>
      </c>
      <c r="D15" s="151">
        <v>2306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1977</v>
      </c>
      <c r="D16" s="151">
        <v>2062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26425</v>
      </c>
      <c r="D17" s="151">
        <v>23978</v>
      </c>
      <c r="E17" s="243" t="s">
        <v>46</v>
      </c>
      <c r="F17" s="245" t="s">
        <v>47</v>
      </c>
      <c r="G17" s="154">
        <f>G11+G14+G15+G16</f>
        <v>38272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91007</v>
      </c>
      <c r="D19" s="155">
        <f>SUM(D11:D18)</f>
        <v>88923</v>
      </c>
      <c r="E19" s="237" t="s">
        <v>53</v>
      </c>
      <c r="F19" s="242" t="s">
        <v>54</v>
      </c>
      <c r="G19" s="152">
        <v>23987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9792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9792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45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40859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25830</v>
      </c>
      <c r="H27" s="154">
        <f>SUM(H28:H30)</f>
        <v>-313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25830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-313</v>
      </c>
      <c r="M29" s="157"/>
    </row>
    <row r="30" spans="1:8" ht="15">
      <c r="A30" s="235" t="s">
        <v>90</v>
      </c>
      <c r="B30" s="241" t="s">
        <v>91</v>
      </c>
      <c r="C30" s="151">
        <v>519</v>
      </c>
      <c r="D30" s="151">
        <v>519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3332</v>
      </c>
      <c r="H31" s="152">
        <v>26143</v>
      </c>
      <c r="M31" s="157"/>
    </row>
    <row r="32" spans="1:15" ht="15">
      <c r="A32" s="235" t="s">
        <v>98</v>
      </c>
      <c r="B32" s="250" t="s">
        <v>99</v>
      </c>
      <c r="C32" s="155">
        <f>C30+C31</f>
        <v>519</v>
      </c>
      <c r="D32" s="155">
        <f>D30+D31</f>
        <v>519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29162</v>
      </c>
      <c r="H33" s="154">
        <f>H27+H31+H32</f>
        <v>25830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108293</v>
      </c>
      <c r="H36" s="154">
        <f>H25+H17+H33</f>
        <v>105995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510</v>
      </c>
      <c r="H39" s="158">
        <v>487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</v>
      </c>
      <c r="H43" s="152">
        <v>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26272</v>
      </c>
      <c r="H44" s="152">
        <f>24428-2981</f>
        <v>21447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2111</v>
      </c>
      <c r="H46" s="152">
        <f>1918-332</f>
        <v>1586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</v>
      </c>
      <c r="H48" s="152">
        <v>55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28404</v>
      </c>
      <c r="H49" s="154">
        <f>SUM(H43:H48)</f>
        <v>23095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2160</v>
      </c>
      <c r="H53" s="152">
        <v>2160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25</v>
      </c>
      <c r="H54" s="152">
        <v>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91594</v>
      </c>
      <c r="D55" s="155">
        <f>D19+D20+D21+D27+D32+D45+D51+D53+D54</f>
        <v>89491</v>
      </c>
      <c r="E55" s="237" t="s">
        <v>172</v>
      </c>
      <c r="F55" s="261" t="s">
        <v>173</v>
      </c>
      <c r="G55" s="154">
        <f>G49+G51+G52+G53+G54</f>
        <v>30589</v>
      </c>
      <c r="H55" s="154">
        <f>H49+H51+H52+H53+H54</f>
        <v>25280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4470</v>
      </c>
      <c r="D58" s="151">
        <v>5757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2227</v>
      </c>
      <c r="D59" s="151">
        <v>3352</v>
      </c>
      <c r="E59" s="251" t="s">
        <v>181</v>
      </c>
      <c r="F59" s="242" t="s">
        <v>182</v>
      </c>
      <c r="G59" s="152">
        <v>3912</v>
      </c>
      <c r="H59" s="152">
        <v>8848</v>
      </c>
      <c r="M59" s="157"/>
    </row>
    <row r="60" spans="1:8" ht="15">
      <c r="A60" s="235" t="s">
        <v>183</v>
      </c>
      <c r="B60" s="241" t="s">
        <v>184</v>
      </c>
      <c r="C60" s="151">
        <v>51</v>
      </c>
      <c r="D60" s="151">
        <v>74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24185</v>
      </c>
      <c r="D61" s="151">
        <v>25852</v>
      </c>
      <c r="E61" s="243" t="s">
        <v>189</v>
      </c>
      <c r="F61" s="272" t="s">
        <v>190</v>
      </c>
      <c r="G61" s="154">
        <f>SUM(G62:G68)</f>
        <v>7631</v>
      </c>
      <c r="H61" s="154">
        <f>SUM(H62:H68)</f>
        <v>12551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239</v>
      </c>
      <c r="H62" s="152">
        <v>239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338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30933</v>
      </c>
      <c r="D64" s="155">
        <f>SUM(D58:D63)</f>
        <v>35035</v>
      </c>
      <c r="E64" s="237" t="s">
        <v>200</v>
      </c>
      <c r="F64" s="242" t="s">
        <v>201</v>
      </c>
      <c r="G64" s="152">
        <f>6781-170</f>
        <v>6611</v>
      </c>
      <c r="H64" s="152">
        <f>9399-475-11</f>
        <v>8913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</v>
      </c>
      <c r="H65" s="152">
        <v>475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424+39</f>
        <v>463</v>
      </c>
      <c r="H66" s="152">
        <v>676</v>
      </c>
    </row>
    <row r="67" spans="1:8" ht="15">
      <c r="A67" s="235" t="s">
        <v>207</v>
      </c>
      <c r="B67" s="241" t="s">
        <v>208</v>
      </c>
      <c r="C67" s="151">
        <f>1773+1500+156</f>
        <v>3429</v>
      </c>
      <c r="D67" s="151">
        <v>3647</v>
      </c>
      <c r="E67" s="237" t="s">
        <v>209</v>
      </c>
      <c r="F67" s="242" t="s">
        <v>210</v>
      </c>
      <c r="G67" s="152">
        <f>164+9</f>
        <v>173</v>
      </c>
      <c r="H67" s="152">
        <v>520</v>
      </c>
    </row>
    <row r="68" spans="1:8" ht="15">
      <c r="A68" s="235" t="s">
        <v>211</v>
      </c>
      <c r="B68" s="241" t="s">
        <v>212</v>
      </c>
      <c r="C68" s="151">
        <f>13889-156-649</f>
        <v>13084</v>
      </c>
      <c r="D68" s="151">
        <f>17906-683+22</f>
        <v>17245</v>
      </c>
      <c r="E68" s="237" t="s">
        <v>213</v>
      </c>
      <c r="F68" s="242" t="s">
        <v>214</v>
      </c>
      <c r="G68" s="152">
        <v>131</v>
      </c>
      <c r="H68" s="152">
        <v>1390</v>
      </c>
    </row>
    <row r="69" spans="1:8" ht="15">
      <c r="A69" s="235" t="s">
        <v>215</v>
      </c>
      <c r="B69" s="241" t="s">
        <v>216</v>
      </c>
      <c r="C69" s="151">
        <f>273+197+156+23</f>
        <v>649</v>
      </c>
      <c r="D69" s="151">
        <f>24+145+475+39</f>
        <v>683</v>
      </c>
      <c r="E69" s="251" t="s">
        <v>78</v>
      </c>
      <c r="F69" s="242" t="s">
        <v>217</v>
      </c>
      <c r="G69" s="152">
        <v>1116</v>
      </c>
      <c r="H69" s="152">
        <v>1266</v>
      </c>
    </row>
    <row r="70" spans="1:8" ht="15">
      <c r="A70" s="235" t="s">
        <v>218</v>
      </c>
      <c r="B70" s="241" t="s">
        <v>219</v>
      </c>
      <c r="C70" s="151">
        <f>2130-1500</f>
        <v>630</v>
      </c>
      <c r="D70" s="151">
        <v>638</v>
      </c>
      <c r="E70" s="237" t="s">
        <v>220</v>
      </c>
      <c r="F70" s="242" t="s">
        <v>221</v>
      </c>
      <c r="G70" s="152">
        <v>88</v>
      </c>
      <c r="H70" s="152">
        <v>88</v>
      </c>
    </row>
    <row r="71" spans="1:18" ht="15">
      <c r="A71" s="235" t="s">
        <v>222</v>
      </c>
      <c r="B71" s="241" t="s">
        <v>223</v>
      </c>
      <c r="C71" s="151">
        <v>15</v>
      </c>
      <c r="D71" s="151">
        <v>15</v>
      </c>
      <c r="E71" s="253" t="s">
        <v>46</v>
      </c>
      <c r="F71" s="273" t="s">
        <v>224</v>
      </c>
      <c r="G71" s="161">
        <f>G59+G60+G61+G69+G70</f>
        <v>12747</v>
      </c>
      <c r="H71" s="161">
        <f>H59+H60+H61+H69+H70</f>
        <v>22753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2031</v>
      </c>
      <c r="D72" s="151">
        <v>2132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736</v>
      </c>
      <c r="D74" s="151">
        <v>816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20574</v>
      </c>
      <c r="D75" s="155">
        <f>SUM(D67:D74)</f>
        <v>25176</v>
      </c>
      <c r="E75" s="251" t="s">
        <v>160</v>
      </c>
      <c r="F75" s="245" t="s">
        <v>234</v>
      </c>
      <c r="G75" s="152"/>
      <c r="H75" s="152">
        <f>206-183</f>
        <v>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183</v>
      </c>
      <c r="H76" s="152">
        <v>183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12930</v>
      </c>
      <c r="H79" s="162">
        <f>H71+H74+H75+H76</f>
        <v>22959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123</v>
      </c>
      <c r="D87" s="151">
        <v>59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8561</v>
      </c>
      <c r="D88" s="151">
        <v>4434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137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8821</v>
      </c>
      <c r="D91" s="155">
        <f>SUM(D87:D90)</f>
        <v>4634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f>392+8</f>
        <v>400</v>
      </c>
      <c r="D92" s="151">
        <v>385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60728</v>
      </c>
      <c r="D93" s="155">
        <f>D64+D75+D84+D91+D92</f>
        <v>65230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152322</v>
      </c>
      <c r="D94" s="164">
        <f>D93+D55</f>
        <v>154721</v>
      </c>
      <c r="E94" s="449" t="s">
        <v>270</v>
      </c>
      <c r="F94" s="289" t="s">
        <v>271</v>
      </c>
      <c r="G94" s="165">
        <f>G36+G39+G55+G79</f>
        <v>152322</v>
      </c>
      <c r="H94" s="165">
        <f>H36+H39+H55+H79</f>
        <v>154721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1">
      <selection activeCell="D61" sqref="D6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77" t="str">
        <f>'справка №1-БАЛАНС'!E3</f>
        <v>"МОНБАТ" АД</v>
      </c>
      <c r="C2" s="577"/>
      <c r="D2" s="577"/>
      <c r="E2" s="577"/>
      <c r="F2" s="579" t="s">
        <v>2</v>
      </c>
      <c r="G2" s="579"/>
      <c r="H2" s="524">
        <f>'справка №1-БАЛАНС'!H3</f>
        <v>111028849</v>
      </c>
    </row>
    <row r="3" spans="1:8" ht="15">
      <c r="A3" s="466" t="s">
        <v>275</v>
      </c>
      <c r="B3" s="577" t="str">
        <f>'справка №1-БАЛАНС'!E4</f>
        <v>консолидиран</v>
      </c>
      <c r="C3" s="577"/>
      <c r="D3" s="577"/>
      <c r="E3" s="57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8" t="str">
        <f>'справка №1-БАЛАНС'!E5</f>
        <v>03.2009 г.</v>
      </c>
      <c r="C4" s="578"/>
      <c r="D4" s="578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10784</v>
      </c>
      <c r="D9" s="46">
        <f>37687-5307</f>
        <v>32380</v>
      </c>
      <c r="E9" s="298" t="s">
        <v>285</v>
      </c>
      <c r="F9" s="547" t="s">
        <v>286</v>
      </c>
      <c r="G9" s="548">
        <v>22956</v>
      </c>
      <c r="H9" s="548">
        <v>46856</v>
      </c>
    </row>
    <row r="10" spans="1:8" ht="12">
      <c r="A10" s="298" t="s">
        <v>287</v>
      </c>
      <c r="B10" s="299" t="s">
        <v>288</v>
      </c>
      <c r="C10" s="46">
        <v>2564</v>
      </c>
      <c r="D10" s="46">
        <f>3701-495</f>
        <v>3206</v>
      </c>
      <c r="E10" s="298" t="s">
        <v>289</v>
      </c>
      <c r="F10" s="547" t="s">
        <v>290</v>
      </c>
      <c r="G10" s="548">
        <v>61</v>
      </c>
      <c r="H10" s="548">
        <v>152</v>
      </c>
    </row>
    <row r="11" spans="1:8" ht="12">
      <c r="A11" s="298" t="s">
        <v>291</v>
      </c>
      <c r="B11" s="299" t="s">
        <v>292</v>
      </c>
      <c r="C11" s="46">
        <v>1136</v>
      </c>
      <c r="D11" s="46">
        <v>881</v>
      </c>
      <c r="E11" s="300" t="s">
        <v>293</v>
      </c>
      <c r="F11" s="547" t="s">
        <v>294</v>
      </c>
      <c r="G11" s="548">
        <v>225</v>
      </c>
      <c r="H11" s="548">
        <v>336</v>
      </c>
    </row>
    <row r="12" spans="1:8" ht="12">
      <c r="A12" s="298" t="s">
        <v>295</v>
      </c>
      <c r="B12" s="299" t="s">
        <v>296</v>
      </c>
      <c r="C12" s="46">
        <v>2102</v>
      </c>
      <c r="D12" s="46">
        <v>2628</v>
      </c>
      <c r="E12" s="300" t="s">
        <v>78</v>
      </c>
      <c r="F12" s="547" t="s">
        <v>297</v>
      </c>
      <c r="G12" s="548">
        <v>811</v>
      </c>
      <c r="H12" s="548">
        <v>3714</v>
      </c>
    </row>
    <row r="13" spans="1:18" ht="12">
      <c r="A13" s="298" t="s">
        <v>298</v>
      </c>
      <c r="B13" s="299" t="s">
        <v>299</v>
      </c>
      <c r="C13" s="46">
        <v>410</v>
      </c>
      <c r="D13" s="46">
        <v>557</v>
      </c>
      <c r="E13" s="301" t="s">
        <v>51</v>
      </c>
      <c r="F13" s="549" t="s">
        <v>300</v>
      </c>
      <c r="G13" s="546">
        <f>SUM(G9:G12)</f>
        <v>24053</v>
      </c>
      <c r="H13" s="546">
        <f>SUM(H9:H12)</f>
        <v>51058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168</v>
      </c>
      <c r="D14" s="46">
        <v>3228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2793</v>
      </c>
      <c r="D15" s="47">
        <v>-2431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356</v>
      </c>
      <c r="D16" s="47">
        <v>254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>
        <v>254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20313</v>
      </c>
      <c r="D19" s="49">
        <f>SUM(D9:D15)+D16</f>
        <v>40703</v>
      </c>
      <c r="E19" s="304" t="s">
        <v>317</v>
      </c>
      <c r="F19" s="550" t="s">
        <v>318</v>
      </c>
      <c r="G19" s="548">
        <v>23</v>
      </c>
      <c r="H19" s="548">
        <v>5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288</v>
      </c>
      <c r="D22" s="46">
        <v>147</v>
      </c>
      <c r="E22" s="304" t="s">
        <v>326</v>
      </c>
      <c r="F22" s="550" t="s">
        <v>327</v>
      </c>
      <c r="G22" s="548">
        <v>70</v>
      </c>
      <c r="H22" s="548">
        <v>67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77</v>
      </c>
      <c r="D24" s="46">
        <v>74</v>
      </c>
      <c r="E24" s="301" t="s">
        <v>103</v>
      </c>
      <c r="F24" s="552" t="s">
        <v>334</v>
      </c>
      <c r="G24" s="546">
        <f>SUM(G19:G23)</f>
        <v>93</v>
      </c>
      <c r="H24" s="546">
        <f>SUM(H19:H23)</f>
        <v>72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114</v>
      </c>
      <c r="D25" s="46">
        <v>249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479</v>
      </c>
      <c r="D26" s="49">
        <f>SUM(D22:D25)</f>
        <v>470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20792</v>
      </c>
      <c r="D28" s="50">
        <f>D26+D19</f>
        <v>41173</v>
      </c>
      <c r="E28" s="127" t="s">
        <v>339</v>
      </c>
      <c r="F28" s="552" t="s">
        <v>340</v>
      </c>
      <c r="G28" s="546">
        <f>G13+G15+G24</f>
        <v>24146</v>
      </c>
      <c r="H28" s="546">
        <f>H13+H15+H24</f>
        <v>51130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3354</v>
      </c>
      <c r="D30" s="50">
        <f>IF((H28-D28)&gt;0,H28-D28,0)</f>
        <v>9957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20792</v>
      </c>
      <c r="D33" s="49">
        <f>D28-D31+D32</f>
        <v>41173</v>
      </c>
      <c r="E33" s="127" t="s">
        <v>353</v>
      </c>
      <c r="F33" s="552" t="s">
        <v>354</v>
      </c>
      <c r="G33" s="53">
        <f>G32-G31+G28</f>
        <v>24146</v>
      </c>
      <c r="H33" s="53">
        <f>H32-H31+H28</f>
        <v>51130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3354</v>
      </c>
      <c r="D34" s="50">
        <f>IF((H33-D33)&gt;0,H33-D33,0)</f>
        <v>9957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3354</v>
      </c>
      <c r="D39" s="460">
        <f>+IF((H33-D33-D35)&gt;0,H33-D33-D35,0)</f>
        <v>9957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22</v>
      </c>
      <c r="D40" s="51">
        <v>25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3332</v>
      </c>
      <c r="D41" s="52">
        <f>IF(H39=0,IF(D39-D40&gt;0,D39-D40+H40,0),IF(H39-H40&lt;0,H40-H39+D39,0))</f>
        <v>9932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24146</v>
      </c>
      <c r="D42" s="53">
        <f>D33+D35+D39</f>
        <v>51130</v>
      </c>
      <c r="E42" s="128" t="s">
        <v>380</v>
      </c>
      <c r="F42" s="129" t="s">
        <v>381</v>
      </c>
      <c r="G42" s="53">
        <f>G39+G33</f>
        <v>24146</v>
      </c>
      <c r="H42" s="53">
        <f>H39+H33</f>
        <v>51130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862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632">
        <v>39963</v>
      </c>
      <c r="C48" s="427" t="s">
        <v>382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0"/>
      <c r="E50" s="590"/>
      <c r="F50" s="590"/>
      <c r="G50" s="590"/>
      <c r="H50" s="590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2">
      <selection activeCell="A53" sqref="A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03.2009 г.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28870</v>
      </c>
      <c r="D10" s="54">
        <v>50557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-18058</v>
      </c>
      <c r="D11" s="54">
        <v>-38067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-2972</v>
      </c>
      <c r="D13" s="54">
        <v>-2792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1395</v>
      </c>
      <c r="D14" s="54">
        <v>670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-1460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22</v>
      </c>
      <c r="D18" s="54">
        <v>-74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-423</v>
      </c>
      <c r="D19" s="54">
        <v>-158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7374</v>
      </c>
      <c r="D20" s="55">
        <f>SUM(D10:D19)</f>
        <v>10044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-1171</v>
      </c>
      <c r="D22" s="54">
        <v>-4436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-1078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-2249</v>
      </c>
      <c r="D32" s="55">
        <f>SUM(D22:D31)</f>
        <v>-4436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-1035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5689</v>
      </c>
      <c r="D36" s="54">
        <v>2812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-5101</v>
      </c>
      <c r="D37" s="54">
        <v>-11198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-127</v>
      </c>
      <c r="D38" s="54">
        <v>-4</v>
      </c>
      <c r="E38" s="130"/>
      <c r="F38" s="130"/>
    </row>
    <row r="39" spans="1:6" ht="12">
      <c r="A39" s="332" t="s">
        <v>442</v>
      </c>
      <c r="B39" s="333" t="s">
        <v>443</v>
      </c>
      <c r="C39" s="54">
        <f>-13-244</f>
        <v>-257</v>
      </c>
      <c r="D39" s="54">
        <v>-323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-107</v>
      </c>
      <c r="D41" s="54">
        <v>-144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-938</v>
      </c>
      <c r="D42" s="55">
        <f>SUM(D34:D41)</f>
        <v>-8857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4187</v>
      </c>
      <c r="D43" s="55">
        <f>D42+D32+D20</f>
        <v>-3249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4634</v>
      </c>
      <c r="D44" s="132">
        <v>5934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8821</v>
      </c>
      <c r="D45" s="55">
        <f>D44+D43</f>
        <v>2685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+C45-C47</f>
        <v>8684</v>
      </c>
      <c r="D46" s="56">
        <f>+D45-D47</f>
        <v>2579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137</v>
      </c>
      <c r="D47" s="56">
        <v>106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15" zoomScaleNormal="115" workbookViewId="0" topLeftCell="A28">
      <selection activeCell="B44" sqref="B44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03.2009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26143</v>
      </c>
      <c r="J11" s="58">
        <f>'справка №1-БАЛАНС'!H29+'справка №1-БАЛАНС'!H32</f>
        <v>-313</v>
      </c>
      <c r="K11" s="60"/>
      <c r="L11" s="344">
        <f>SUM(C11:K11)</f>
        <v>105995</v>
      </c>
      <c r="M11" s="58">
        <f>'справка №1-БАЛАНС'!H39</f>
        <v>487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26143</v>
      </c>
      <c r="J15" s="61">
        <f t="shared" si="2"/>
        <v>-313</v>
      </c>
      <c r="K15" s="61">
        <f t="shared" si="2"/>
        <v>0</v>
      </c>
      <c r="L15" s="344">
        <f t="shared" si="1"/>
        <v>105995</v>
      </c>
      <c r="M15" s="61">
        <f t="shared" si="2"/>
        <v>487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3332</v>
      </c>
      <c r="J16" s="345">
        <f>+'справка №1-БАЛАНС'!G32</f>
        <v>0</v>
      </c>
      <c r="K16" s="60"/>
      <c r="L16" s="344">
        <f t="shared" si="1"/>
        <v>3332</v>
      </c>
      <c r="M16" s="60">
        <v>22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-261</v>
      </c>
      <c r="D28" s="60">
        <v>-773</v>
      </c>
      <c r="E28" s="60"/>
      <c r="F28" s="60"/>
      <c r="G28" s="60"/>
      <c r="H28" s="60"/>
      <c r="I28" s="60"/>
      <c r="J28" s="60"/>
      <c r="K28" s="60"/>
      <c r="L28" s="344">
        <f t="shared" si="1"/>
        <v>-1034</v>
      </c>
      <c r="M28" s="60">
        <v>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38272</v>
      </c>
      <c r="D29" s="59">
        <f aca="true" t="shared" si="6" ref="D29:M29">D17+D20+D21+D24+D28+D27+D15+D16</f>
        <v>23987</v>
      </c>
      <c r="E29" s="59">
        <f t="shared" si="6"/>
        <v>7080</v>
      </c>
      <c r="F29" s="59">
        <f t="shared" si="6"/>
        <v>9792</v>
      </c>
      <c r="G29" s="59">
        <f t="shared" si="6"/>
        <v>0</v>
      </c>
      <c r="H29" s="59">
        <f t="shared" si="6"/>
        <v>0</v>
      </c>
      <c r="I29" s="59">
        <f t="shared" si="6"/>
        <v>29475</v>
      </c>
      <c r="J29" s="59">
        <f t="shared" si="6"/>
        <v>-313</v>
      </c>
      <c r="K29" s="59">
        <f t="shared" si="6"/>
        <v>0</v>
      </c>
      <c r="L29" s="344">
        <f t="shared" si="1"/>
        <v>108293</v>
      </c>
      <c r="M29" s="59">
        <f t="shared" si="6"/>
        <v>510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38272</v>
      </c>
      <c r="D32" s="59">
        <f t="shared" si="7"/>
        <v>23987</v>
      </c>
      <c r="E32" s="59">
        <f t="shared" si="7"/>
        <v>7080</v>
      </c>
      <c r="F32" s="59">
        <f t="shared" si="7"/>
        <v>9792</v>
      </c>
      <c r="G32" s="59">
        <f t="shared" si="7"/>
        <v>0</v>
      </c>
      <c r="H32" s="59">
        <f t="shared" si="7"/>
        <v>0</v>
      </c>
      <c r="I32" s="59">
        <f t="shared" si="7"/>
        <v>29475</v>
      </c>
      <c r="J32" s="59">
        <f t="shared" si="7"/>
        <v>-313</v>
      </c>
      <c r="K32" s="59">
        <f t="shared" si="7"/>
        <v>0</v>
      </c>
      <c r="L32" s="344">
        <f t="shared" si="1"/>
        <v>108293</v>
      </c>
      <c r="M32" s="59">
        <f>M29+M30+M31</f>
        <v>510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30" zoomScaleNormal="130" workbookViewId="0" topLeftCell="A40">
      <selection activeCell="D48" sqref="D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"МОНБАТ" АД</v>
      </c>
      <c r="D2" s="612"/>
      <c r="E2" s="612"/>
      <c r="F2" s="612"/>
      <c r="G2" s="612"/>
      <c r="H2" s="61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610" t="s">
        <v>5</v>
      </c>
      <c r="B3" s="611"/>
      <c r="C3" s="613" t="str">
        <f>'справка №1-БАЛАНС'!E5</f>
        <v>03.2009 г.</v>
      </c>
      <c r="D3" s="613"/>
      <c r="E3" s="613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6861</v>
      </c>
      <c r="E9" s="189"/>
      <c r="F9" s="189"/>
      <c r="G9" s="74">
        <f>D9+E9-F9</f>
        <v>6861</v>
      </c>
      <c r="H9" s="65"/>
      <c r="I9" s="65"/>
      <c r="J9" s="74">
        <f aca="true" t="shared" si="0" ref="J9:J25">G9+H9-I9</f>
        <v>6861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6861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20824</v>
      </c>
      <c r="E10" s="189">
        <f>6+350</f>
        <v>356</v>
      </c>
      <c r="F10" s="189"/>
      <c r="G10" s="74">
        <f aca="true" t="shared" si="3" ref="G10:G39">D10+E10-F10</f>
        <v>21180</v>
      </c>
      <c r="H10" s="65"/>
      <c r="I10" s="65"/>
      <c r="J10" s="74">
        <f t="shared" si="0"/>
        <v>21180</v>
      </c>
      <c r="K10" s="65">
        <v>2184</v>
      </c>
      <c r="L10" s="65">
        <f>70+8</f>
        <v>78</v>
      </c>
      <c r="M10" s="65"/>
      <c r="N10" s="74">
        <f aca="true" t="shared" si="4" ref="N10:N39">K10+L10-M10</f>
        <v>2262</v>
      </c>
      <c r="O10" s="65"/>
      <c r="P10" s="65"/>
      <c r="Q10" s="74">
        <f t="shared" si="1"/>
        <v>2262</v>
      </c>
      <c r="R10" s="74">
        <f t="shared" si="2"/>
        <v>18918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60548</v>
      </c>
      <c r="E11" s="189">
        <f>356+27+11+2</f>
        <v>396</v>
      </c>
      <c r="F11" s="189">
        <f>13</f>
        <v>13</v>
      </c>
      <c r="G11" s="74">
        <f t="shared" si="3"/>
        <v>60931</v>
      </c>
      <c r="H11" s="65"/>
      <c r="I11" s="65"/>
      <c r="J11" s="74">
        <f t="shared" si="0"/>
        <v>60931</v>
      </c>
      <c r="K11" s="65">
        <v>27241</v>
      </c>
      <c r="L11" s="65">
        <f>690+45+94+2</f>
        <v>831</v>
      </c>
      <c r="M11" s="65">
        <f>4+2</f>
        <v>6</v>
      </c>
      <c r="N11" s="74">
        <f t="shared" si="4"/>
        <v>28066</v>
      </c>
      <c r="O11" s="65"/>
      <c r="P11" s="65"/>
      <c r="Q11" s="74">
        <f t="shared" si="1"/>
        <v>28066</v>
      </c>
      <c r="R11" s="74">
        <f t="shared" si="2"/>
        <v>32865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2242</v>
      </c>
      <c r="E12" s="189">
        <f>3</f>
        <v>3</v>
      </c>
      <c r="F12" s="189"/>
      <c r="G12" s="74">
        <f t="shared" si="3"/>
        <v>2245</v>
      </c>
      <c r="H12" s="65"/>
      <c r="I12" s="65"/>
      <c r="J12" s="74">
        <f t="shared" si="0"/>
        <v>2245</v>
      </c>
      <c r="K12" s="65">
        <v>473</v>
      </c>
      <c r="L12" s="65">
        <f>16+3</f>
        <v>19</v>
      </c>
      <c r="M12" s="65"/>
      <c r="N12" s="74">
        <f t="shared" si="4"/>
        <v>492</v>
      </c>
      <c r="O12" s="65"/>
      <c r="P12" s="65"/>
      <c r="Q12" s="74">
        <f t="shared" si="1"/>
        <v>492</v>
      </c>
      <c r="R12" s="74">
        <f t="shared" si="2"/>
        <v>1753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3974</v>
      </c>
      <c r="E13" s="189">
        <f>3</f>
        <v>3</v>
      </c>
      <c r="F13" s="189"/>
      <c r="G13" s="74">
        <f t="shared" si="3"/>
        <v>3977</v>
      </c>
      <c r="H13" s="65"/>
      <c r="I13" s="65"/>
      <c r="J13" s="74">
        <f t="shared" si="0"/>
        <v>3977</v>
      </c>
      <c r="K13" s="65">
        <v>1668</v>
      </c>
      <c r="L13" s="65">
        <f>98+3</f>
        <v>101</v>
      </c>
      <c r="M13" s="65"/>
      <c r="N13" s="74">
        <f t="shared" si="4"/>
        <v>1769</v>
      </c>
      <c r="O13" s="65"/>
      <c r="P13" s="65"/>
      <c r="Q13" s="74">
        <f t="shared" si="1"/>
        <v>1769</v>
      </c>
      <c r="R13" s="74">
        <f t="shared" si="2"/>
        <v>2208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3302</v>
      </c>
      <c r="E14" s="189">
        <f>19</f>
        <v>19</v>
      </c>
      <c r="F14" s="189"/>
      <c r="G14" s="74">
        <f t="shared" si="3"/>
        <v>3321</v>
      </c>
      <c r="H14" s="65"/>
      <c r="I14" s="65"/>
      <c r="J14" s="74">
        <f t="shared" si="0"/>
        <v>3321</v>
      </c>
      <c r="K14" s="65">
        <v>1240</v>
      </c>
      <c r="L14" s="65">
        <f>103+1</f>
        <v>104</v>
      </c>
      <c r="M14" s="65"/>
      <c r="N14" s="74">
        <f t="shared" si="4"/>
        <v>1344</v>
      </c>
      <c r="O14" s="65"/>
      <c r="P14" s="65"/>
      <c r="Q14" s="74">
        <f t="shared" si="1"/>
        <v>1344</v>
      </c>
      <c r="R14" s="74">
        <f t="shared" si="2"/>
        <v>1977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859</v>
      </c>
      <c r="B15" s="374" t="s">
        <v>860</v>
      </c>
      <c r="C15" s="456" t="s">
        <v>861</v>
      </c>
      <c r="D15" s="457">
        <v>23978</v>
      </c>
      <c r="E15" s="457">
        <f>1822+625</f>
        <v>2447</v>
      </c>
      <c r="F15" s="457"/>
      <c r="G15" s="74">
        <f t="shared" si="3"/>
        <v>26425</v>
      </c>
      <c r="H15" s="458"/>
      <c r="I15" s="458"/>
      <c r="J15" s="74">
        <f t="shared" si="0"/>
        <v>26425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26425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3"/>
        <v>0</v>
      </c>
      <c r="H16" s="65"/>
      <c r="I16" s="65"/>
      <c r="J16" s="74">
        <f t="shared" si="0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121729</v>
      </c>
      <c r="E17" s="194">
        <f>SUM(E9:E16)</f>
        <v>3224</v>
      </c>
      <c r="F17" s="194">
        <f>SUM(F9:F16)</f>
        <v>13</v>
      </c>
      <c r="G17" s="74">
        <f t="shared" si="3"/>
        <v>124940</v>
      </c>
      <c r="H17" s="75">
        <f>SUM(H9:H16)</f>
        <v>0</v>
      </c>
      <c r="I17" s="75">
        <f>SUM(I9:I16)</f>
        <v>0</v>
      </c>
      <c r="J17" s="74">
        <f t="shared" si="0"/>
        <v>124940</v>
      </c>
      <c r="K17" s="75">
        <f>SUM(K9:K16)</f>
        <v>32806</v>
      </c>
      <c r="L17" s="75">
        <f>SUM(L9:L16)</f>
        <v>1133</v>
      </c>
      <c r="M17" s="75">
        <f>SUM(M9:M16)</f>
        <v>6</v>
      </c>
      <c r="N17" s="74">
        <f t="shared" si="4"/>
        <v>33933</v>
      </c>
      <c r="O17" s="75">
        <f>SUM(O9:O16)</f>
        <v>0</v>
      </c>
      <c r="P17" s="75">
        <f>SUM(P9:P16)</f>
        <v>0</v>
      </c>
      <c r="Q17" s="74">
        <f t="shared" si="5"/>
        <v>33933</v>
      </c>
      <c r="R17" s="74">
        <f t="shared" si="6"/>
        <v>91007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958</v>
      </c>
      <c r="E21" s="189">
        <f>22</f>
        <v>22</v>
      </c>
      <c r="F21" s="189"/>
      <c r="G21" s="74">
        <f t="shared" si="3"/>
        <v>980</v>
      </c>
      <c r="H21" s="65"/>
      <c r="I21" s="65"/>
      <c r="J21" s="74">
        <f t="shared" si="0"/>
        <v>980</v>
      </c>
      <c r="K21" s="65">
        <v>934</v>
      </c>
      <c r="L21" s="65">
        <f>1</f>
        <v>1</v>
      </c>
      <c r="M21" s="65"/>
      <c r="N21" s="74">
        <f t="shared" si="4"/>
        <v>935</v>
      </c>
      <c r="O21" s="65"/>
      <c r="P21" s="65"/>
      <c r="Q21" s="74">
        <f t="shared" si="5"/>
        <v>935</v>
      </c>
      <c r="R21" s="74">
        <f t="shared" si="6"/>
        <v>45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153</v>
      </c>
      <c r="E22" s="189"/>
      <c r="F22" s="189"/>
      <c r="G22" s="74">
        <f t="shared" si="3"/>
        <v>153</v>
      </c>
      <c r="H22" s="65"/>
      <c r="I22" s="65"/>
      <c r="J22" s="74">
        <f t="shared" si="0"/>
        <v>153</v>
      </c>
      <c r="K22" s="65">
        <v>142</v>
      </c>
      <c r="L22" s="65">
        <f>2</f>
        <v>2</v>
      </c>
      <c r="M22" s="65"/>
      <c r="N22" s="74">
        <f t="shared" si="4"/>
        <v>144</v>
      </c>
      <c r="O22" s="65"/>
      <c r="P22" s="65"/>
      <c r="Q22" s="74">
        <f t="shared" si="5"/>
        <v>144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</v>
      </c>
      <c r="E24" s="189"/>
      <c r="F24" s="189"/>
      <c r="G24" s="74">
        <f t="shared" si="3"/>
        <v>15</v>
      </c>
      <c r="H24" s="65"/>
      <c r="I24" s="65"/>
      <c r="J24" s="74">
        <f t="shared" si="0"/>
        <v>15</v>
      </c>
      <c r="K24" s="65">
        <v>9</v>
      </c>
      <c r="L24" s="65"/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1126</v>
      </c>
      <c r="E25" s="190">
        <f aca="true" t="shared" si="7" ref="E25:P25">SUM(E21:E24)</f>
        <v>22</v>
      </c>
      <c r="F25" s="190">
        <f t="shared" si="7"/>
        <v>0</v>
      </c>
      <c r="G25" s="67">
        <f t="shared" si="3"/>
        <v>1148</v>
      </c>
      <c r="H25" s="66">
        <f t="shared" si="7"/>
        <v>0</v>
      </c>
      <c r="I25" s="66">
        <f t="shared" si="7"/>
        <v>0</v>
      </c>
      <c r="J25" s="67">
        <f t="shared" si="0"/>
        <v>1148</v>
      </c>
      <c r="K25" s="66">
        <f t="shared" si="7"/>
        <v>1085</v>
      </c>
      <c r="L25" s="66">
        <f t="shared" si="7"/>
        <v>3</v>
      </c>
      <c r="M25" s="66">
        <f t="shared" si="7"/>
        <v>0</v>
      </c>
      <c r="N25" s="67">
        <f t="shared" si="4"/>
        <v>1088</v>
      </c>
      <c r="O25" s="66">
        <f t="shared" si="7"/>
        <v>0</v>
      </c>
      <c r="P25" s="66">
        <f t="shared" si="7"/>
        <v>0</v>
      </c>
      <c r="Q25" s="67">
        <f t="shared" si="5"/>
        <v>1088</v>
      </c>
      <c r="R25" s="67">
        <f t="shared" si="6"/>
        <v>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9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8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8</v>
      </c>
      <c r="H38" s="75">
        <f t="shared" si="13"/>
        <v>0</v>
      </c>
      <c r="I38" s="75">
        <f t="shared" si="13"/>
        <v>0</v>
      </c>
      <c r="J38" s="74">
        <f t="shared" si="9"/>
        <v>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>
        <v>519</v>
      </c>
      <c r="E39" s="570"/>
      <c r="F39" s="570"/>
      <c r="G39" s="74">
        <f t="shared" si="3"/>
        <v>519</v>
      </c>
      <c r="H39" s="570"/>
      <c r="I39" s="570"/>
      <c r="J39" s="74">
        <f t="shared" si="9"/>
        <v>519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519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123382</v>
      </c>
      <c r="E40" s="438">
        <f>E17+E18+E19+E25+E38+E39</f>
        <v>3246</v>
      </c>
      <c r="F40" s="438">
        <f aca="true" t="shared" si="14" ref="F40:R40">F17+F18+F19+F25+F38+F39</f>
        <v>13</v>
      </c>
      <c r="G40" s="438">
        <f t="shared" si="14"/>
        <v>126615</v>
      </c>
      <c r="H40" s="438">
        <f t="shared" si="14"/>
        <v>0</v>
      </c>
      <c r="I40" s="438">
        <f t="shared" si="14"/>
        <v>0</v>
      </c>
      <c r="J40" s="438">
        <f t="shared" si="14"/>
        <v>126615</v>
      </c>
      <c r="K40" s="438">
        <f t="shared" si="14"/>
        <v>33891</v>
      </c>
      <c r="L40" s="438">
        <f t="shared" si="14"/>
        <v>1136</v>
      </c>
      <c r="M40" s="438">
        <f t="shared" si="14"/>
        <v>6</v>
      </c>
      <c r="N40" s="438">
        <f t="shared" si="14"/>
        <v>35021</v>
      </c>
      <c r="O40" s="438">
        <f t="shared" si="14"/>
        <v>0</v>
      </c>
      <c r="P40" s="438">
        <f t="shared" si="14"/>
        <v>0</v>
      </c>
      <c r="Q40" s="438">
        <f t="shared" si="14"/>
        <v>35021</v>
      </c>
      <c r="R40" s="438">
        <f t="shared" si="14"/>
        <v>91594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97">
      <selection activeCell="C115" sqref="C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03.2009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3429</v>
      </c>
      <c r="D24" s="119">
        <f>SUM(D25:D27)</f>
        <v>3429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1500</v>
      </c>
      <c r="D25" s="108">
        <v>1500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1773+156</f>
        <v>1929</v>
      </c>
      <c r="D26" s="108">
        <f>1773+156</f>
        <v>1929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13084</v>
      </c>
      <c r="D28" s="108">
        <v>13084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649</v>
      </c>
      <c r="D29" s="108">
        <v>649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630</v>
      </c>
      <c r="D30" s="108">
        <v>630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2031</v>
      </c>
      <c r="D33" s="105">
        <f>SUM(D34:D37)</f>
        <v>2031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f>237+5</f>
        <v>242</v>
      </c>
      <c r="D34" s="108">
        <f>237+5</f>
        <v>242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f>1113+17+91+397+1</f>
        <v>1619</v>
      </c>
      <c r="D35" s="108">
        <f>1113+17+91+397+1</f>
        <v>1619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170</v>
      </c>
      <c r="D37" s="108">
        <v>170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736</v>
      </c>
      <c r="D38" s="105">
        <f>SUM(D39:D42)</f>
        <v>736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733</v>
      </c>
      <c r="D42" s="108">
        <v>733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20574</v>
      </c>
      <c r="D43" s="104">
        <f>D24+D28+D29+D31+D30+D32+D33+D38</f>
        <v>20574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20574</v>
      </c>
      <c r="D44" s="103">
        <f>D43+D21+D19+D9</f>
        <v>20574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</v>
      </c>
      <c r="D52" s="103">
        <f>SUM(D53:D55)</f>
        <v>0</v>
      </c>
      <c r="E52" s="119">
        <f>C52-D52</f>
        <v>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7</v>
      </c>
      <c r="D53" s="108"/>
      <c r="E53" s="119">
        <f>C53-D53</f>
        <v>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26297</v>
      </c>
      <c r="D56" s="103">
        <f>D57+D59</f>
        <v>0</v>
      </c>
      <c r="E56" s="119">
        <f t="shared" si="1"/>
        <v>26297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26272</v>
      </c>
      <c r="D57" s="108">
        <v>0</v>
      </c>
      <c r="E57" s="119">
        <f t="shared" si="1"/>
        <v>26272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25</v>
      </c>
      <c r="D59" s="108"/>
      <c r="E59" s="119">
        <f t="shared" si="1"/>
        <v>25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2111</v>
      </c>
      <c r="D62" s="108"/>
      <c r="E62" s="119">
        <f t="shared" si="1"/>
        <v>2111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14</v>
      </c>
      <c r="D64" s="108"/>
      <c r="E64" s="119">
        <f t="shared" si="1"/>
        <v>14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28429</v>
      </c>
      <c r="D66" s="103">
        <f>D52+D56+D61+D62+D63+D64</f>
        <v>0</v>
      </c>
      <c r="E66" s="119">
        <f t="shared" si="1"/>
        <v>28429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2160</v>
      </c>
      <c r="D68" s="108"/>
      <c r="E68" s="119">
        <f t="shared" si="1"/>
        <v>2160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239</v>
      </c>
      <c r="D71" s="105">
        <f>SUM(D72:D74)</f>
        <v>239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29</v>
      </c>
      <c r="D72" s="108">
        <v>29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210</v>
      </c>
      <c r="D73" s="108">
        <v>210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3912</v>
      </c>
      <c r="D75" s="103">
        <f>D76+D78</f>
        <v>3912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3912</v>
      </c>
      <c r="D76" s="108">
        <v>3912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7392</v>
      </c>
      <c r="D85" s="104">
        <f>SUM(D86:D90)+D94</f>
        <v>7392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6611</v>
      </c>
      <c r="D87" s="108">
        <v>6611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14</v>
      </c>
      <c r="D88" s="108">
        <v>14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463</v>
      </c>
      <c r="D89" s="108">
        <v>463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131</v>
      </c>
      <c r="D90" s="103">
        <f>SUM(D91:D93)</f>
        <v>131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72</v>
      </c>
      <c r="D92" s="108">
        <v>72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53+6</f>
        <v>59</v>
      </c>
      <c r="D93" s="108">
        <v>59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173</v>
      </c>
      <c r="D94" s="108">
        <v>173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1116</v>
      </c>
      <c r="D95" s="108">
        <v>1116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12659</v>
      </c>
      <c r="D96" s="104">
        <f>D85+D80+D75+D71+D95</f>
        <v>12659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43248</v>
      </c>
      <c r="D97" s="104">
        <f>D96+D68+D66</f>
        <v>12659</v>
      </c>
      <c r="E97" s="104">
        <f>E96+E68+E66</f>
        <v>30589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88</v>
      </c>
      <c r="D104" s="108"/>
      <c r="E104" s="108">
        <v>0</v>
      </c>
      <c r="F104" s="125">
        <f>C104+D104-E104</f>
        <v>88</v>
      </c>
    </row>
    <row r="105" spans="1:16" ht="12">
      <c r="A105" s="412" t="s">
        <v>778</v>
      </c>
      <c r="B105" s="395" t="s">
        <v>779</v>
      </c>
      <c r="C105" s="103">
        <f>SUM(C102:C104)</f>
        <v>88</v>
      </c>
      <c r="D105" s="103">
        <f>SUM(D102:D104)</f>
        <v>0</v>
      </c>
      <c r="E105" s="103">
        <f>SUM(E102:E104)</f>
        <v>0</v>
      </c>
      <c r="F105" s="103">
        <f>SUM(F102:F104)</f>
        <v>88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872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2" sqref="C32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03.2009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>
        <v>728659</v>
      </c>
      <c r="D20" s="98"/>
      <c r="E20" s="98"/>
      <c r="F20" s="98">
        <v>728</v>
      </c>
      <c r="G20" s="98"/>
      <c r="H20" s="98"/>
      <c r="I20" s="434">
        <f t="shared" si="0"/>
        <v>728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728659</v>
      </c>
      <c r="D26" s="85">
        <f t="shared" si="2"/>
        <v>0</v>
      </c>
      <c r="E26" s="85">
        <f t="shared" si="2"/>
        <v>0</v>
      </c>
      <c r="F26" s="85">
        <f t="shared" si="2"/>
        <v>728</v>
      </c>
      <c r="G26" s="85">
        <f t="shared" si="2"/>
        <v>0</v>
      </c>
      <c r="H26" s="85">
        <f t="shared" si="2"/>
        <v>0</v>
      </c>
      <c r="I26" s="434">
        <f t="shared" si="0"/>
        <v>728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A154" sqref="A15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823</v>
      </c>
      <c r="B6" s="630" t="str">
        <f>'справка №1-БАЛАНС'!E5</f>
        <v>03.2009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840</v>
      </c>
      <c r="B79" s="39" t="s">
        <v>841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849</v>
      </c>
      <c r="D151" s="631"/>
      <c r="E151" s="631"/>
      <c r="F151" s="631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1" t="s">
        <v>857</v>
      </c>
      <c r="D153" s="631"/>
      <c r="E153" s="631"/>
      <c r="F153" s="631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2009-05-30T09:44:41Z</cp:lastPrinted>
  <dcterms:created xsi:type="dcterms:W3CDTF">2000-06-29T12:02:40Z</dcterms:created>
  <dcterms:modified xsi:type="dcterms:W3CDTF">2009-05-30T09:45:57Z</dcterms:modified>
  <cp:category/>
  <cp:version/>
  <cp:contentType/>
  <cp:contentStatus/>
</cp:coreProperties>
</file>