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8"/>
  </bookViews>
  <sheets>
    <sheet name="справка № 1ДФ-БАЛАНС" sheetId="1" r:id="rId1"/>
    <sheet name="справка № 2ДФ-ОТЧЕТ ЗА ДОХОДИТЕ" sheetId="2" r:id="rId2"/>
    <sheet name="справка № 3ДФ-ОПП" sheetId="3" r:id="rId3"/>
    <sheet name="справка № 4ДФ-ОСК" sheetId="4" r:id="rId4"/>
    <sheet name="справка № 5ДФ" sheetId="5" r:id="rId5"/>
    <sheet name="справка № 6ДФ" sheetId="6" r:id="rId6"/>
    <sheet name="справка №7ДФ" sheetId="7" r:id="rId7"/>
    <sheet name="справка № 8ДФ" sheetId="8" r:id="rId8"/>
    <sheet name="справка №9ДФ" sheetId="9" r:id="rId9"/>
  </sheets>
  <definedNames>
    <definedName name="_xlnm.Print_Area" localSheetId="6">'справка №7ДФ'!$A$1:$Q$80</definedName>
    <definedName name="_xlnm.Print_Titles" localSheetId="1">'справка № 2ДФ-ОТЧЕТ ЗА ДОХОДИТЕ'!$11:$11</definedName>
    <definedName name="_xlnm.Print_Titles" localSheetId="2">'справка № 3ДФ-ОПП'!$14:$14</definedName>
    <definedName name="_xlnm.Print_Titles" localSheetId="3">'справка № 4ДФ-ОСК'!$13:$13</definedName>
    <definedName name="_xlnm.Print_Titles" localSheetId="4">'справка № 5ДФ'!$12:$12</definedName>
    <definedName name="_xlnm.Print_Titles" localSheetId="7">'справка № 8ДФ'!$10:$12</definedName>
    <definedName name="_xlnm.Print_Titles" localSheetId="6">'справка №7ДФ'!$12:$12</definedName>
  </definedNames>
  <calcPr fullCalcOnLoad="1"/>
</workbook>
</file>

<file path=xl/sharedStrings.xml><?xml version="1.0" encoding="utf-8"?>
<sst xmlns="http://schemas.openxmlformats.org/spreadsheetml/2006/main" count="747" uniqueCount="414">
  <si>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</si>
  <si>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</si>
  <si>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</si>
  <si>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</si>
  <si>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</si>
  <si>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</si>
  <si>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</si>
  <si>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</si>
  <si>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</si>
  <si>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</si>
  <si>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</si>
  <si>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</si>
  <si>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</si>
  <si>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</si>
  <si>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</si>
  <si>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</si>
  <si>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</si>
  <si>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</si>
  <si>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</si>
  <si>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</si>
  <si>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</si>
  <si>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</si>
  <si>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</si>
  <si>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</si>
  <si>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</si>
  <si>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</si>
  <si>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</si>
  <si>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</si>
  <si>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</si>
  <si>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</si>
  <si>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</si>
  <si>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</si>
  <si>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</si>
  <si>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</si>
  <si>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</si>
  <si>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</si>
  <si>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</si>
  <si>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</si>
  <si>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</si>
  <si>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</si>
  <si>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</si>
  <si>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</si>
  <si>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</si>
  <si>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</si>
  <si>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</si>
  <si>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</si>
  <si>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</si>
  <si>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</si>
  <si>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</si>
  <si>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</si>
  <si>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</si>
  <si>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</si>
  <si>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</si>
  <si>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</si>
  <si>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</si>
  <si>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</si>
  <si>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</si>
  <si>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</si>
  <si>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</si>
  <si>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</si>
  <si>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</si>
  <si>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</si>
  <si>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</si>
  <si>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</si>
  <si>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</si>
  <si>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</si>
  <si>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</si>
  <si>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</si>
  <si>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</si>
  <si>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</si>
  <si>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</si>
  <si>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</si>
  <si>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</si>
  <si>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</si>
  <si>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</si>
  <si>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</si>
  <si>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</si>
  <si>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</si>
  <si>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</si>
  <si>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</si>
  <si>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</si>
  <si>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</si>
  <si>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</si>
  <si>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</si>
  <si>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</si>
  <si>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</si>
  <si>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</si>
  <si>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</si>
  <si>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</si>
  <si>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</si>
  <si>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</si>
  <si>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</si>
  <si>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</si>
  <si>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</si>
  <si>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</si>
  <si>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</si>
  <si>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</si>
  <si>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</si>
  <si>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</si>
  <si>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</si>
  <si>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</si>
  <si>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</si>
  <si>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</si>
  <si>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</si>
  <si>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</si>
  <si>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</si>
  <si>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</si>
  <si>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</si>
  <si>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</si>
  <si>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</si>
  <si>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</si>
  <si>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</si>
  <si>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</si>
  <si>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</si>
  <si>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</si>
  <si>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</si>
  <si>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</si>
  <si>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</si>
  <si>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</si>
  <si>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</si>
  <si>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</si>
  <si>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</si>
  <si>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</si>
  <si>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</si>
  <si>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</si>
  <si>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</si>
  <si>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</si>
  <si>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</si>
  <si>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</si>
  <si>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</si>
  <si>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</si>
  <si>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</si>
  <si>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</si>
  <si>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</si>
  <si>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</si>
  <si>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</si>
  <si>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</si>
  <si>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</si>
  <si>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</si>
  <si>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</si>
  <si>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</si>
  <si>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</si>
  <si>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</si>
  <si>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</si>
  <si>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</si>
  <si>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</si>
  <si>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</si>
  <si>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</si>
  <si>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</si>
  <si>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</si>
  <si>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</si>
  <si>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</si>
  <si>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</si>
  <si>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</si>
  <si>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</si>
  <si>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</si>
  <si>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</si>
  <si>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</si>
  <si>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</si>
  <si>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</si>
  <si>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</si>
  <si>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</si>
  <si>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</si>
  <si>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</si>
  <si>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</si>
  <si>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</si>
  <si>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</si>
  <si>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</si>
  <si>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</si>
  <si>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</si>
  <si>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</si>
  <si>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</si>
  <si>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</si>
  <si>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</si>
  <si>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</si>
  <si>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</si>
  <si>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</si>
  <si>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</si>
  <si>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</si>
  <si>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</si>
  <si>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</si>
  <si>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</si>
  <si>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</si>
  <si>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</si>
  <si>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</si>
  <si>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</si>
  <si>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</si>
  <si>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</si>
  <si>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</si>
  <si>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</si>
  <si>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</si>
  <si>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</si>
  <si>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</si>
  <si>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</si>
  <si>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</si>
  <si>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</si>
  <si>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</si>
  <si>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</si>
  <si>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</si>
  <si>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</si>
  <si>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</si>
  <si>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</si>
  <si>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</si>
  <si>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</si>
  <si>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</si>
  <si>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</si>
  <si>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</si>
  <si>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</si>
  <si>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</si>
  <si>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</si>
  <si>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</si>
  <si>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</si>
  <si>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</si>
  <si>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</si>
  <si>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</si>
  <si>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</si>
  <si>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</si>
  <si>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</si>
  <si>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</si>
  <si>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</si>
  <si>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</si>
  <si>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</si>
  <si>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</si>
  <si>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</si>
  <si>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</si>
  <si>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</si>
  <si>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</si>
  <si>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</si>
  <si>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</si>
  <si>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</si>
  <si>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</si>
  <si>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</si>
  <si>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</si>
  <si>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</si>
  <si>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</si>
  <si>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</si>
  <si>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 xml:space="preserve">2. Вземания 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</si>
  <si>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</si>
  <si>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</si>
  <si>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</si>
  <si>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</si>
  <si>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</si>
  <si>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</si>
  <si>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</si>
  <si>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</si>
  <si>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</si>
  <si>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</si>
  <si>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</si>
  <si>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Преоценена стойност (4+5-6)</t>
  </si>
  <si>
    <t>Амортизация</t>
  </si>
  <si>
    <t>2. Държани до настъпване на падежа, в т.ч.: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</si>
  <si>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</si>
  <si>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</si>
  <si>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</si>
  <si>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</si>
  <si>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</si>
  <si>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</si>
  <si>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</si>
  <si>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</si>
  <si>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</si>
  <si>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</si>
  <si>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</si>
  <si>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</si>
  <si>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</si>
  <si>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</si>
  <si>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</si>
  <si>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</si>
  <si>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</si>
  <si>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</si>
  <si>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</si>
  <si>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</si>
  <si>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</si>
  <si>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</si>
  <si>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</si>
  <si>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</si>
  <si>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</si>
  <si>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</si>
  <si>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</si>
  <si>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</si>
  <si>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</si>
  <si>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</si>
  <si>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</si>
  <si>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</si>
  <si>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</si>
  <si>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</si>
  <si>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</si>
  <si>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</si>
  <si>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</si>
  <si>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</si>
  <si>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</si>
  <si>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</si>
  <si>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</si>
  <si>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</si>
  <si>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</si>
  <si>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</si>
  <si>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</si>
  <si>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</si>
  <si>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</si>
  <si>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</si>
  <si>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</si>
  <si>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</si>
  <si>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</si>
  <si>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</si>
  <si>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</si>
  <si>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</si>
  <si>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</si>
  <si>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 xml:space="preserve"> за участията в капиталите на други предприятия 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</si>
  <si>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</si>
  <si>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</si>
  <si>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</si>
  <si>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</si>
  <si>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</si>
  <si>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</si>
  <si>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</si>
  <si>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</si>
  <si>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</si>
  <si>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</si>
  <si>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</si>
  <si>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</si>
  <si>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</si>
  <si>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</si>
  <si>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</si>
  <si>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</si>
  <si>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</si>
  <si>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</si>
  <si>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ІІ. Разходи за лихви</t>
  </si>
  <si>
    <t>Обща сума на  раздел І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</si>
  <si>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</si>
  <si>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</si>
  <si>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</si>
  <si>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</si>
  <si>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</si>
  <si>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</si>
  <si>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</si>
  <si>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</si>
  <si>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</si>
  <si>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</si>
  <si>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</si>
  <si>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</si>
  <si>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</si>
  <si>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</si>
  <si>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</si>
  <si>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</si>
  <si>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</si>
  <si>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Е. Парични средства в края на периода, в т.ч.:</t>
  </si>
  <si>
    <t>по безсрочни депозити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</si>
  <si>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</si>
  <si>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</si>
  <si>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</si>
  <si>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</si>
  <si>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</si>
  <si>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</si>
  <si>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</si>
  <si>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</si>
  <si>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t>БФБ - СОФИЯ</t>
  </si>
  <si>
    <t>BG1100019980</t>
  </si>
  <si>
    <t>Съставител:</t>
  </si>
  <si>
    <t>2. Разходи за външни услуги</t>
  </si>
  <si>
    <t>1. Акции</t>
  </si>
  <si>
    <t>Регулиран пазар, на който са приети за търговия, както и сегмент</t>
  </si>
  <si>
    <t>3. Лихви по дългови ценни книжа</t>
  </si>
  <si>
    <t>Справка №2 ДФ</t>
  </si>
  <si>
    <t>ЕИК по БУЛСТАТ: 175064530</t>
  </si>
  <si>
    <t>Справка №З ДФ</t>
  </si>
  <si>
    <t>Справка №4 ДФ</t>
  </si>
  <si>
    <t>Справка №5 ДФ</t>
  </si>
  <si>
    <t xml:space="preserve">Справка № 6 ДФ
</t>
  </si>
  <si>
    <t>Справка №7 ДФ</t>
  </si>
  <si>
    <t>Индустриален Холдинг България АД-София</t>
  </si>
  <si>
    <t>Петрол АД-София</t>
  </si>
  <si>
    <t>SOFIX</t>
  </si>
  <si>
    <t>BG40</t>
  </si>
  <si>
    <t>БЛ Лизинг АД</t>
  </si>
  <si>
    <t>Обединена млечна компания АД</t>
  </si>
  <si>
    <t>BG2100019061</t>
  </si>
  <si>
    <t>BG2100004063</t>
  </si>
  <si>
    <t>Справка №8 ДФ</t>
  </si>
  <si>
    <t>Справка №9 ДФ</t>
  </si>
  <si>
    <t>ЕИК по БУЛСТАТ: 175064573</t>
  </si>
  <si>
    <t>Ти Би Ай Кредит ЕАД-София</t>
  </si>
  <si>
    <t>Овергаз Инк. АД-София</t>
  </si>
  <si>
    <t>BG2100014054</t>
  </si>
  <si>
    <t>BG2100002034</t>
  </si>
  <si>
    <t>BG2100013031</t>
  </si>
  <si>
    <t>Справка №1 ДФ</t>
  </si>
  <si>
    <t xml:space="preserve">7. Други </t>
  </si>
  <si>
    <t>II.ПРИХОДИ ЗА БЪДЕЩИ ПЕРИОДИ</t>
  </si>
  <si>
    <t>Роял Патейтос АД</t>
  </si>
  <si>
    <t>Св. Св. Константин и Елена Холдинг АД</t>
  </si>
  <si>
    <t>BG2100026066</t>
  </si>
  <si>
    <t>BG2100031058</t>
  </si>
  <si>
    <t>/Янко Николов/</t>
  </si>
  <si>
    <t>ДФ "КД ОБЛИГАЦИИ БЪЛГАРИЯ"</t>
  </si>
  <si>
    <t>Монбат АД</t>
  </si>
  <si>
    <t>/Силвия Дончева/</t>
  </si>
  <si>
    <t>Топливо АД</t>
  </si>
  <si>
    <t>BG11TOSOAT18</t>
  </si>
  <si>
    <t>BG1100075065</t>
  </si>
  <si>
    <t>BG2100006076</t>
  </si>
  <si>
    <t>Ти Би Ай Лизинг АД</t>
  </si>
  <si>
    <t>Корпоративна Търговска Банка АД</t>
  </si>
  <si>
    <t xml:space="preserve">BG2100008072 </t>
  </si>
  <si>
    <t>неприключил сетълмент</t>
  </si>
  <si>
    <t>BG1100129052</t>
  </si>
  <si>
    <t>BG2100013072</t>
  </si>
  <si>
    <t>Отчетен период: 01.01.2007 - 31.12.2007</t>
  </si>
  <si>
    <t>Дата: 31.01.2008</t>
  </si>
  <si>
    <t>Индустриален Холдинг България АД-София-права</t>
  </si>
  <si>
    <t>BG4000028077</t>
  </si>
  <si>
    <t>Евролийз Ауто АД-ІІ</t>
  </si>
  <si>
    <t>Евролийз Ауто АД-IIІ</t>
  </si>
  <si>
    <t>Изп.Директор:</t>
  </si>
  <si>
    <t>/Красимир Мишлаков/</t>
  </si>
  <si>
    <t>Изп.Директор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</si>
</sst>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-* #,##0.0\ _л_в_-;\-* #,##0.0\ _л_в_-;_-* &quot;-&quot;??\ _л_в_-;_-@_-"/>
    <numFmt numFmtId="174" formatCode="_-* #,##0.000\ _л_в_-;\-* #,##0.000\ _л_в_-;_-* &quot;-&quot;??\ _л_в_-;_-@_-"/>
    <numFmt numFmtId="175" formatCode="_-* #,##0.0000\ _л_в_-;\-* #,##0.0000\ _л_в_-;_-* &quot;-&quot;??\ _л_в_-;_-@_-"/>
    <numFmt numFmtId="176" formatCode="_-* #,##0.00000\ _л_в_-;\-* #,##0.00000\ _л_в_-;_-* &quot;-&quot;??\ _л_в_-;_-@_-"/>
    <numFmt numFmtId="177" formatCode="_-* #,##0.000000\ _л_в_-;\-* #,##0.000000\ _л_в_-;_-* &quot;-&quot;??\ _л_в_-;_-@_-"/>
    <numFmt numFmtId="178" formatCode="_-* #,##0\ _л_в_-;\-* #,##0\ _л_в_-;_-* &quot;-&quot;??\ _л_в_-;_-@_-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0000000"/>
    <numFmt numFmtId="187" formatCode="0.0000000000%"/>
    <numFmt numFmtId="188" formatCode="0.000%"/>
    <numFmt numFmtId="189" formatCode="0.000000000%"/>
    <numFmt numFmtId="190" formatCode="0.00000000%"/>
    <numFmt numFmtId="191" formatCode="0.0000000%"/>
    <numFmt numFmtId="192" formatCode="0.000000%"/>
    <numFmt numFmtId="193" formatCode="0.00000%"/>
    <numFmt numFmtId="194" formatCode="0.0000%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sz val="8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49" fontId="1" fillId="0" borderId="1" xfId="24" applyNumberFormat="1" applyFont="1" applyBorder="1" applyAlignment="1" applyProtection="1">
      <alignment horizontal="center" vertical="center" wrapText="1"/>
      <protection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3" fillId="0" borderId="0" xfId="24" applyFont="1" applyAlignment="1" applyProtection="1">
      <alignment horizontal="center" vertical="center" wrapText="1"/>
      <protection locked="0"/>
    </xf>
    <xf numFmtId="0" fontId="1" fillId="0" borderId="0" xfId="25" applyFont="1" applyAlignment="1" applyProtection="1">
      <alignment horizontal="center" vertical="center" wrapText="1"/>
      <protection locked="0"/>
    </xf>
    <xf numFmtId="0" fontId="1" fillId="0" borderId="1" xfId="24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4" applyFont="1" applyBorder="1" applyAlignment="1" applyProtection="1">
      <alignment vertical="top" wrapText="1"/>
      <protection locked="0"/>
    </xf>
    <xf numFmtId="0" fontId="8" fillId="0" borderId="0" xfId="26" applyFont="1" applyBorder="1" applyAlignment="1" applyProtection="1">
      <alignment wrapText="1"/>
      <protection locked="0"/>
    </xf>
    <xf numFmtId="0" fontId="8" fillId="0" borderId="0" xfId="26" applyFont="1" applyBorder="1" applyProtection="1">
      <alignment/>
      <protection locked="0"/>
    </xf>
    <xf numFmtId="0" fontId="7" fillId="0" borderId="1" xfId="26" applyFont="1" applyBorder="1" applyAlignment="1" applyProtection="1">
      <alignment horizontal="center" vertical="center" wrapText="1"/>
      <protection/>
    </xf>
    <xf numFmtId="0" fontId="7" fillId="0" borderId="1" xfId="26" applyFont="1" applyBorder="1" applyAlignment="1" applyProtection="1">
      <alignment vertical="center" wrapText="1"/>
      <protection/>
    </xf>
    <xf numFmtId="3" fontId="7" fillId="0" borderId="1" xfId="26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4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7" applyFont="1" applyFill="1" applyAlignment="1">
      <alignment horizontal="left" vertical="justify" wrapText="1"/>
      <protection/>
    </xf>
    <xf numFmtId="0" fontId="7" fillId="0" borderId="0" xfId="27" applyFont="1" applyFill="1" applyAlignment="1">
      <alignment horizontal="left" vertical="justify"/>
      <protection/>
    </xf>
    <xf numFmtId="0" fontId="8" fillId="0" borderId="0" xfId="27" applyFont="1" applyFill="1" applyAlignment="1">
      <alignment horizontal="left" vertical="justify"/>
      <protection/>
    </xf>
    <xf numFmtId="0" fontId="7" fillId="0" borderId="0" xfId="24" applyFont="1" applyFill="1" applyBorder="1" applyAlignment="1" applyProtection="1">
      <alignment horizontal="left" vertical="justify" wrapText="1"/>
      <protection locked="0"/>
    </xf>
    <xf numFmtId="0" fontId="7" fillId="0" borderId="2" xfId="24" applyFont="1" applyFill="1" applyBorder="1" applyAlignment="1" applyProtection="1">
      <alignment horizontal="left" vertical="justify" wrapText="1"/>
      <protection locked="0"/>
    </xf>
    <xf numFmtId="0" fontId="7" fillId="0" borderId="0" xfId="27" applyFont="1" applyFill="1" applyBorder="1" applyAlignment="1">
      <alignment horizontal="left" vertical="justify" wrapText="1"/>
      <protection/>
    </xf>
    <xf numFmtId="0" fontId="7" fillId="0" borderId="0" xfId="27" applyFont="1" applyFill="1" applyBorder="1" applyAlignment="1" applyProtection="1">
      <alignment horizontal="left" vertical="justify" wrapText="1"/>
      <protection locked="0"/>
    </xf>
    <xf numFmtId="3" fontId="8" fillId="0" borderId="0" xfId="27" applyNumberFormat="1" applyFont="1" applyFill="1" applyBorder="1" applyAlignment="1" applyProtection="1">
      <alignment horizontal="left" vertical="justify"/>
      <protection locked="0"/>
    </xf>
    <xf numFmtId="0" fontId="8" fillId="0" borderId="0" xfId="27" applyFont="1" applyFill="1" applyBorder="1" applyAlignment="1" applyProtection="1">
      <alignment horizontal="left" vertical="justify"/>
      <protection locked="0"/>
    </xf>
    <xf numFmtId="0" fontId="8" fillId="0" borderId="0" xfId="25" applyFont="1" applyAlignment="1" applyProtection="1">
      <alignment wrapText="1"/>
      <protection locked="0"/>
    </xf>
    <xf numFmtId="0" fontId="8" fillId="0" borderId="0" xfId="25" applyFont="1" applyFill="1" applyAlignment="1" applyProtection="1">
      <alignment wrapText="1"/>
      <protection locked="0"/>
    </xf>
    <xf numFmtId="0" fontId="7" fillId="0" borderId="0" xfId="25" applyFont="1" applyBorder="1" applyAlignment="1" applyProtection="1">
      <alignment horizontal="centerContinuous" vertical="center" wrapText="1"/>
      <protection locked="0"/>
    </xf>
    <xf numFmtId="0" fontId="7" fillId="0" borderId="0" xfId="25" applyFont="1" applyFill="1" applyBorder="1" applyAlignment="1" applyProtection="1">
      <alignment horizontal="centerContinuous" vertical="center" wrapText="1"/>
      <protection locked="0"/>
    </xf>
    <xf numFmtId="0" fontId="7" fillId="0" borderId="0" xfId="24" applyFont="1" applyFill="1" applyBorder="1" applyAlignment="1" applyProtection="1">
      <alignment vertical="top" wrapText="1"/>
      <protection locked="0"/>
    </xf>
    <xf numFmtId="0" fontId="7" fillId="0" borderId="0" xfId="25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23" applyFont="1" applyProtection="1">
      <alignment/>
      <protection locked="0"/>
    </xf>
    <xf numFmtId="0" fontId="7" fillId="0" borderId="0" xfId="21" applyFont="1" applyAlignment="1" applyProtection="1">
      <alignment horizontal="centerContinuous"/>
      <protection locked="0"/>
    </xf>
    <xf numFmtId="0" fontId="8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1" fontId="8" fillId="0" borderId="0" xfId="21" applyNumberFormat="1" applyFont="1" applyFill="1" applyAlignment="1" applyProtection="1">
      <alignment vertical="center" wrapText="1"/>
      <protection locked="0"/>
    </xf>
    <xf numFmtId="1" fontId="8" fillId="0" borderId="0" xfId="21" applyNumberFormat="1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6" fillId="0" borderId="0" xfId="24" applyFont="1" applyBorder="1" applyAlignment="1" applyProtection="1">
      <alignment vertical="top" wrapText="1"/>
      <protection locked="0"/>
    </xf>
    <xf numFmtId="0" fontId="1" fillId="0" borderId="0" xfId="25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24" applyFont="1" applyFill="1" applyAlignment="1" applyProtection="1">
      <alignment horizontal="left" vertical="justify"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4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0" xfId="24" applyFont="1" applyAlignment="1" applyProtection="1">
      <alignment vertical="top"/>
      <protection locked="0"/>
    </xf>
    <xf numFmtId="0" fontId="8" fillId="0" borderId="0" xfId="26" applyFont="1" applyProtection="1">
      <alignment/>
      <protection locked="0"/>
    </xf>
    <xf numFmtId="0" fontId="8" fillId="0" borderId="1" xfId="26" applyFont="1" applyBorder="1" applyProtection="1">
      <alignment/>
      <protection/>
    </xf>
    <xf numFmtId="0" fontId="6" fillId="0" borderId="1" xfId="26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6" fillId="0" borderId="1" xfId="27" applyFont="1" applyFill="1" applyBorder="1" applyAlignment="1">
      <alignment horizontal="center" vertical="center" wrapText="1"/>
      <protection/>
    </xf>
    <xf numFmtId="0" fontId="6" fillId="0" borderId="1" xfId="27" applyFont="1" applyFill="1" applyBorder="1" applyAlignment="1">
      <alignment horizontal="center" vertical="justify" wrapText="1"/>
      <protection/>
    </xf>
    <xf numFmtId="0" fontId="6" fillId="0" borderId="1" xfId="27" applyFont="1" applyFill="1" applyBorder="1" applyAlignment="1">
      <alignment horizontal="left" vertical="justify" wrapText="1"/>
      <protection/>
    </xf>
    <xf numFmtId="3" fontId="5" fillId="0" borderId="1" xfId="27" applyNumberFormat="1" applyFont="1" applyFill="1" applyBorder="1" applyAlignment="1" applyProtection="1">
      <alignment horizontal="left" vertical="justify"/>
      <protection/>
    </xf>
    <xf numFmtId="1" fontId="5" fillId="0" borderId="1" xfId="27" applyNumberFormat="1" applyFont="1" applyFill="1" applyBorder="1" applyAlignment="1" applyProtection="1">
      <alignment horizontal="left" vertical="justify"/>
      <protection locked="0"/>
    </xf>
    <xf numFmtId="1" fontId="5" fillId="0" borderId="1" xfId="27" applyNumberFormat="1" applyFont="1" applyFill="1" applyBorder="1" applyAlignment="1" applyProtection="1">
      <alignment horizontal="left" vertical="justify"/>
      <protection/>
    </xf>
    <xf numFmtId="0" fontId="5" fillId="0" borderId="1" xfId="27" applyFont="1" applyFill="1" applyBorder="1" applyAlignment="1">
      <alignment horizontal="left" vertical="justify" wrapText="1"/>
      <protection/>
    </xf>
    <xf numFmtId="0" fontId="6" fillId="3" borderId="1" xfId="27" applyFont="1" applyFill="1" applyBorder="1" applyAlignment="1">
      <alignment horizontal="left" vertical="justify" wrapText="1"/>
      <protection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3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3" applyFont="1">
      <alignment/>
      <protection/>
    </xf>
    <xf numFmtId="0" fontId="8" fillId="0" borderId="0" xfId="23" applyFont="1" applyFill="1">
      <alignment/>
      <protection/>
    </xf>
    <xf numFmtId="0" fontId="8" fillId="0" borderId="0" xfId="23" applyFont="1" applyFill="1" applyProtection="1">
      <alignment/>
      <protection/>
    </xf>
    <xf numFmtId="0" fontId="8" fillId="0" borderId="0" xfId="23" applyFont="1" applyFill="1" applyAlignment="1" applyProtection="1">
      <alignment horizontal="left" wrapText="1"/>
      <protection/>
    </xf>
    <xf numFmtId="0" fontId="8" fillId="0" borderId="0" xfId="23" applyFont="1" applyFill="1" applyAlignment="1">
      <alignment horizontal="left" wrapText="1"/>
      <protection/>
    </xf>
    <xf numFmtId="0" fontId="8" fillId="0" borderId="0" xfId="23" applyFont="1" applyAlignment="1">
      <alignment horizontal="left" wrapText="1"/>
      <protection/>
    </xf>
    <xf numFmtId="0" fontId="8" fillId="0" borderId="0" xfId="23" applyFont="1" applyFill="1" applyAlignment="1" applyProtection="1">
      <alignment/>
      <protection locked="0"/>
    </xf>
    <xf numFmtId="0" fontId="8" fillId="0" borderId="0" xfId="23" applyFont="1" applyFill="1" applyProtection="1">
      <alignment/>
      <protection locked="0"/>
    </xf>
    <xf numFmtId="0" fontId="7" fillId="0" borderId="0" xfId="23" applyFont="1" applyProtection="1">
      <alignment/>
      <protection locked="0"/>
    </xf>
    <xf numFmtId="0" fontId="8" fillId="0" borderId="0" xfId="23" applyFont="1" applyFill="1" applyAlignment="1">
      <alignment/>
      <protection/>
    </xf>
    <xf numFmtId="0" fontId="8" fillId="0" borderId="0" xfId="23" applyFont="1" applyAlignment="1">
      <alignment/>
      <protection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3" fillId="0" borderId="0" xfId="24" applyFont="1" applyFill="1" applyAlignment="1" applyProtection="1">
      <alignment horizontal="right" vertical="top"/>
      <protection locked="0"/>
    </xf>
    <xf numFmtId="0" fontId="5" fillId="0" borderId="0" xfId="24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2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14" fontId="6" fillId="0" borderId="0" xfId="24" applyNumberFormat="1" applyFont="1" applyBorder="1" applyAlignment="1" applyProtection="1">
      <alignment horizontal="left" vertical="center" wrapText="1"/>
      <protection locked="0"/>
    </xf>
    <xf numFmtId="14" fontId="6" fillId="0" borderId="0" xfId="24" applyNumberFormat="1" applyFont="1" applyBorder="1" applyAlignment="1" applyProtection="1">
      <alignment vertical="top" wrapText="1"/>
      <protection locked="0"/>
    </xf>
    <xf numFmtId="1" fontId="5" fillId="0" borderId="0" xfId="0" applyNumberFormat="1" applyFont="1" applyAlignment="1">
      <alignment/>
    </xf>
    <xf numFmtId="0" fontId="6" fillId="3" borderId="0" xfId="21" applyFont="1" applyFill="1" applyBorder="1" applyAlignment="1" applyProtection="1">
      <alignment horizontal="right"/>
      <protection/>
    </xf>
    <xf numFmtId="1" fontId="6" fillId="0" borderId="0" xfId="21" applyNumberFormat="1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/>
    </xf>
    <xf numFmtId="0" fontId="13" fillId="0" borderId="0" xfId="0" applyFont="1" applyAlignment="1">
      <alignment vertical="center" wrapText="1"/>
    </xf>
    <xf numFmtId="0" fontId="1" fillId="0" borderId="0" xfId="24" applyFont="1" applyBorder="1" applyAlignment="1" applyProtection="1">
      <alignment horizontal="left" vertical="center" wrapText="1"/>
      <protection locked="0"/>
    </xf>
    <xf numFmtId="3" fontId="5" fillId="0" borderId="1" xfId="27" applyNumberFormat="1" applyFont="1" applyFill="1" applyBorder="1" applyAlignment="1" applyProtection="1">
      <alignment horizontal="right" vertical="justify"/>
      <protection/>
    </xf>
    <xf numFmtId="1" fontId="5" fillId="0" borderId="1" xfId="27" applyNumberFormat="1" applyFont="1" applyFill="1" applyBorder="1" applyAlignment="1" applyProtection="1">
      <alignment horizontal="right" vertical="justify"/>
      <protection/>
    </xf>
    <xf numFmtId="1" fontId="5" fillId="0" borderId="1" xfId="27" applyNumberFormat="1" applyFont="1" applyFill="1" applyBorder="1" applyAlignment="1" applyProtection="1">
      <alignment horizontal="right" vertical="justify"/>
      <protection locked="0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1" fontId="7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1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1" fontId="1" fillId="0" borderId="1" xfId="24" applyNumberFormat="1" applyFont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14" fontId="7" fillId="0" borderId="0" xfId="26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14" fontId="7" fillId="0" borderId="2" xfId="24" applyNumberFormat="1" applyFont="1" applyFill="1" applyBorder="1" applyAlignment="1" applyProtection="1">
      <alignment horizontal="left" vertical="justify" wrapText="1"/>
      <protection locked="0"/>
    </xf>
    <xf numFmtId="14" fontId="6" fillId="0" borderId="0" xfId="0" applyNumberFormat="1" applyFont="1" applyAlignment="1">
      <alignment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Fill="1" applyAlignment="1">
      <alignment/>
    </xf>
    <xf numFmtId="14" fontId="6" fillId="0" borderId="0" xfId="0" applyNumberFormat="1" applyFont="1" applyBorder="1" applyAlignment="1">
      <alignment/>
    </xf>
    <xf numFmtId="0" fontId="8" fillId="0" borderId="0" xfId="26" applyFont="1" applyAlignment="1" applyProtection="1">
      <alignment horizontal="right"/>
      <protection locked="0"/>
    </xf>
    <xf numFmtId="0" fontId="5" fillId="0" borderId="0" xfId="25" applyFont="1" applyFill="1" applyAlignment="1">
      <alignment horizontal="right" vertical="justify" wrapText="1"/>
      <protection/>
    </xf>
    <xf numFmtId="0" fontId="5" fillId="0" borderId="0" xfId="21" applyFont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21" applyFont="1" applyFill="1" applyBorder="1" applyAlignment="1" applyProtection="1">
      <alignment vertical="center" wrapText="1"/>
      <protection/>
    </xf>
    <xf numFmtId="1" fontId="6" fillId="0" borderId="1" xfId="21" applyNumberFormat="1" applyFont="1" applyFill="1" applyBorder="1" applyAlignment="1" applyProtection="1">
      <alignment horizontal="center" vertical="center" wrapText="1"/>
      <protection/>
    </xf>
    <xf numFmtId="0" fontId="6" fillId="0" borderId="1" xfId="21" applyFont="1" applyFill="1" applyBorder="1" applyAlignment="1" applyProtection="1">
      <alignment horizontal="center" vertical="center" wrapText="1"/>
      <protection/>
    </xf>
    <xf numFmtId="1" fontId="6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1" applyFont="1" applyFill="1" applyBorder="1" applyAlignment="1" applyProtection="1">
      <alignment horizontal="left" vertical="center" wrapText="1"/>
      <protection/>
    </xf>
    <xf numFmtId="1" fontId="6" fillId="0" borderId="1" xfId="21" applyNumberFormat="1" applyFont="1" applyFill="1" applyBorder="1" applyAlignment="1" applyProtection="1">
      <alignment horizontal="left" vertical="center" wrapText="1"/>
      <protection/>
    </xf>
    <xf numFmtId="3" fontId="5" fillId="0" borderId="1" xfId="27" applyNumberFormat="1" applyFont="1" applyFill="1" applyBorder="1" applyAlignment="1" applyProtection="1">
      <alignment vertical="justify"/>
      <protection/>
    </xf>
    <xf numFmtId="1" fontId="5" fillId="0" borderId="1" xfId="27" applyNumberFormat="1" applyFont="1" applyFill="1" applyBorder="1" applyAlignment="1" applyProtection="1">
      <alignment vertical="justify"/>
      <protection locked="0"/>
    </xf>
    <xf numFmtId="1" fontId="5" fillId="0" borderId="1" xfId="27" applyNumberFormat="1" applyFont="1" applyFill="1" applyBorder="1" applyAlignment="1" applyProtection="1">
      <alignment vertical="justify"/>
      <protection/>
    </xf>
    <xf numFmtId="0" fontId="20" fillId="0" borderId="1" xfId="22" applyFont="1" applyFill="1" applyBorder="1">
      <alignment/>
      <protection/>
    </xf>
    <xf numFmtId="0" fontId="20" fillId="0" borderId="4" xfId="22" applyFont="1" applyFill="1" applyBorder="1">
      <alignment/>
      <protection/>
    </xf>
    <xf numFmtId="3" fontId="8" fillId="0" borderId="0" xfId="0" applyNumberFormat="1" applyFont="1" applyBorder="1" applyAlignment="1">
      <alignment wrapText="1"/>
    </xf>
    <xf numFmtId="0" fontId="20" fillId="0" borderId="1" xfId="0" applyNumberFormat="1" applyFont="1" applyFill="1" applyBorder="1" applyAlignment="1">
      <alignment/>
    </xf>
    <xf numFmtId="2" fontId="6" fillId="0" borderId="1" xfId="0" applyNumberFormat="1" applyFont="1" applyBorder="1" applyAlignment="1">
      <alignment/>
    </xf>
    <xf numFmtId="0" fontId="21" fillId="3" borderId="1" xfId="0" applyNumberFormat="1" applyFont="1" applyFill="1" applyBorder="1" applyAlignment="1">
      <alignment/>
    </xf>
    <xf numFmtId="0" fontId="22" fillId="0" borderId="0" xfId="0" applyFont="1" applyAlignment="1">
      <alignment/>
    </xf>
    <xf numFmtId="187" fontId="22" fillId="0" borderId="0" xfId="0" applyNumberFormat="1" applyFont="1" applyAlignment="1">
      <alignment/>
    </xf>
    <xf numFmtId="10" fontId="10" fillId="0" borderId="1" xfId="0" applyNumberFormat="1" applyFont="1" applyBorder="1" applyAlignment="1">
      <alignment/>
    </xf>
    <xf numFmtId="0" fontId="20" fillId="0" borderId="3" xfId="0" applyNumberFormat="1" applyFont="1" applyFill="1" applyBorder="1" applyAlignment="1">
      <alignment/>
    </xf>
    <xf numFmtId="0" fontId="1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right" vertical="justify"/>
      <protection locked="0"/>
    </xf>
    <xf numFmtId="0" fontId="5" fillId="0" borderId="0" xfId="0" applyFont="1" applyAlignment="1">
      <alignment horizontal="right" vertical="justify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0" xfId="23" applyFont="1" applyAlignment="1">
      <alignment horizontal="right"/>
      <protection/>
    </xf>
    <xf numFmtId="14" fontId="7" fillId="0" borderId="2" xfId="21" applyNumberFormat="1" applyFont="1" applyBorder="1" applyAlignment="1" applyProtection="1">
      <alignment horizontal="left" vertical="justify" wrapText="1"/>
      <protection locked="0"/>
    </xf>
    <xf numFmtId="0" fontId="6" fillId="0" borderId="4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right" vertical="center" wrapText="1"/>
    </xf>
    <xf numFmtId="0" fontId="1" fillId="0" borderId="0" xfId="24" applyFont="1" applyBorder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5" fillId="0" borderId="0" xfId="24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24" applyFont="1" applyAlignment="1" applyProtection="1">
      <alignment horizontal="right" vertical="top"/>
      <protection locked="0"/>
    </xf>
    <xf numFmtId="14" fontId="6" fillId="0" borderId="0" xfId="24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5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24" applyFont="1" applyFill="1" applyAlignment="1" applyProtection="1">
      <alignment horizontal="right" vertical="top"/>
      <protection locked="0"/>
    </xf>
    <xf numFmtId="0" fontId="13" fillId="0" borderId="0" xfId="0" applyFont="1" applyFill="1" applyAlignment="1">
      <alignment horizontal="right" vertical="center"/>
    </xf>
    <xf numFmtId="0" fontId="1" fillId="0" borderId="0" xfId="27" applyFont="1" applyFill="1" applyAlignment="1">
      <alignment horizontal="center" vertical="justify" wrapText="1"/>
      <protection/>
    </xf>
    <xf numFmtId="0" fontId="6" fillId="0" borderId="8" xfId="27" applyFont="1" applyFill="1" applyBorder="1" applyAlignment="1">
      <alignment horizontal="center" vertical="center" wrapText="1"/>
      <protection/>
    </xf>
    <xf numFmtId="0" fontId="6" fillId="0" borderId="7" xfId="27" applyFont="1" applyFill="1" applyBorder="1" applyAlignment="1">
      <alignment horizontal="center" vertical="center" wrapText="1"/>
      <protection/>
    </xf>
    <xf numFmtId="0" fontId="6" fillId="0" borderId="4" xfId="27" applyFont="1" applyFill="1" applyBorder="1" applyAlignment="1">
      <alignment horizontal="center" vertical="center" wrapText="1"/>
      <protection/>
    </xf>
    <xf numFmtId="0" fontId="6" fillId="0" borderId="5" xfId="27" applyFont="1" applyFill="1" applyBorder="1" applyAlignment="1">
      <alignment horizontal="center" vertical="center" wrapText="1"/>
      <protection/>
    </xf>
    <xf numFmtId="0" fontId="6" fillId="0" borderId="3" xfId="27" applyFont="1" applyFill="1" applyBorder="1" applyAlignment="1">
      <alignment horizontal="center" vertical="center" wrapText="1"/>
      <protection/>
    </xf>
    <xf numFmtId="0" fontId="6" fillId="0" borderId="6" xfId="27" applyFont="1" applyFill="1" applyBorder="1" applyAlignment="1">
      <alignment horizontal="center" vertical="center" wrapText="1"/>
      <protection/>
    </xf>
    <xf numFmtId="0" fontId="6" fillId="0" borderId="4" xfId="27" applyFont="1" applyFill="1" applyBorder="1" applyAlignment="1">
      <alignment horizontal="center" vertical="justify" wrapText="1"/>
      <protection/>
    </xf>
    <xf numFmtId="0" fontId="6" fillId="0" borderId="3" xfId="27" applyFont="1" applyFill="1" applyBorder="1" applyAlignment="1">
      <alignment horizontal="center" vertical="justify" wrapText="1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0" xfId="24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Bonds 06 08 04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D62" sqref="D62:E66"/>
    </sheetView>
  </sheetViews>
  <sheetFormatPr defaultColWidth="9.140625" defaultRowHeight="12.75"/>
  <cols>
    <col min="1" max="1" width="37.421875" style="0" customWidth="1"/>
    <col min="2" max="2" width="13.140625" style="0" customWidth="1"/>
    <col min="3" max="3" width="12.140625" style="0" customWidth="1"/>
    <col min="4" max="4" width="36.8515625" style="0" customWidth="1"/>
    <col min="5" max="5" width="12.140625" style="0" customWidth="1"/>
    <col min="6" max="6" width="13.57421875" style="0" customWidth="1"/>
  </cols>
  <sheetData>
    <row r="1" spans="1:6" ht="12.75">
      <c r="A1" s="7"/>
      <c r="B1" s="7"/>
      <c r="C1" s="7"/>
      <c r="D1" s="7"/>
      <c r="E1" s="315" t="s">
        <v>384</v>
      </c>
      <c r="F1" s="315"/>
    </row>
    <row r="2" spans="1:6" ht="12.75">
      <c r="A2" s="7"/>
      <c r="B2" s="7"/>
      <c r="C2" s="7"/>
      <c r="D2" s="7"/>
      <c r="E2" s="218"/>
      <c r="F2" s="218"/>
    </row>
    <row r="3" spans="1:6" ht="12.75">
      <c r="A3" s="7"/>
      <c r="B3" s="7"/>
      <c r="C3" s="7"/>
      <c r="D3" s="7"/>
      <c r="E3" s="218"/>
      <c r="F3" s="218"/>
    </row>
    <row r="4" spans="1:6" ht="15">
      <c r="A4" s="2"/>
      <c r="B4" s="3"/>
      <c r="C4" s="316" t="s">
        <v>0</v>
      </c>
      <c r="D4" s="316"/>
      <c r="E4" s="4"/>
      <c r="F4" s="4"/>
    </row>
    <row r="5" spans="1:6" ht="15">
      <c r="A5" s="2"/>
      <c r="B5" s="3"/>
      <c r="C5" s="219"/>
      <c r="D5" s="219"/>
      <c r="E5" s="4"/>
      <c r="F5" s="4"/>
    </row>
    <row r="6" spans="1:6" ht="16.5" customHeight="1">
      <c r="A6" s="317" t="s">
        <v>392</v>
      </c>
      <c r="B6" s="317"/>
      <c r="C6" s="2"/>
      <c r="D6" s="2"/>
      <c r="E6" s="318" t="s">
        <v>378</v>
      </c>
      <c r="F6" s="318"/>
    </row>
    <row r="7" spans="1:6" ht="16.5" customHeight="1">
      <c r="A7" s="192" t="s">
        <v>405</v>
      </c>
      <c r="B7" s="191"/>
      <c r="C7" s="5"/>
      <c r="D7" s="5"/>
      <c r="E7" s="4"/>
      <c r="F7" s="260" t="s">
        <v>126</v>
      </c>
    </row>
    <row r="8" spans="1:6" ht="15" hidden="1">
      <c r="A8" s="2"/>
      <c r="B8" s="2"/>
      <c r="C8" s="5"/>
      <c r="D8" s="5"/>
      <c r="E8" s="4"/>
      <c r="F8" s="5"/>
    </row>
    <row r="9" spans="1:6" ht="28.5">
      <c r="A9" s="6" t="s">
        <v>1</v>
      </c>
      <c r="B9" s="97" t="s">
        <v>2</v>
      </c>
      <c r="C9" s="97" t="s">
        <v>3</v>
      </c>
      <c r="D9" s="1" t="s">
        <v>7</v>
      </c>
      <c r="E9" s="249" t="s">
        <v>4</v>
      </c>
      <c r="F9" s="97" t="s">
        <v>5</v>
      </c>
    </row>
    <row r="10" spans="1:6" ht="14.25">
      <c r="A10" s="6" t="s">
        <v>6</v>
      </c>
      <c r="B10" s="6">
        <v>1</v>
      </c>
      <c r="C10" s="6">
        <v>2</v>
      </c>
      <c r="D10" s="1" t="s">
        <v>6</v>
      </c>
      <c r="E10" s="249">
        <v>1</v>
      </c>
      <c r="F10" s="6">
        <v>2</v>
      </c>
    </row>
    <row r="11" spans="1:6" ht="17.25" customHeight="1">
      <c r="A11" s="27" t="s">
        <v>8</v>
      </c>
      <c r="B11" s="9"/>
      <c r="C11" s="9"/>
      <c r="D11" s="11" t="s">
        <v>44</v>
      </c>
      <c r="E11" s="211"/>
      <c r="F11" s="211"/>
    </row>
    <row r="12" spans="1:6" ht="21.75" customHeight="1">
      <c r="A12" s="28" t="s">
        <v>45</v>
      </c>
      <c r="B12" s="10"/>
      <c r="C12" s="10"/>
      <c r="D12" s="28" t="s">
        <v>46</v>
      </c>
      <c r="E12" s="223">
        <v>618842.24</v>
      </c>
      <c r="F12" s="223">
        <v>563261.19</v>
      </c>
    </row>
    <row r="13" spans="1:6" ht="15.75" customHeight="1">
      <c r="A13" s="10" t="s">
        <v>47</v>
      </c>
      <c r="B13" s="10"/>
      <c r="C13" s="10"/>
      <c r="D13" s="28" t="s">
        <v>48</v>
      </c>
      <c r="E13" s="214"/>
      <c r="F13" s="214"/>
    </row>
    <row r="14" spans="1:6" ht="25.5" customHeight="1">
      <c r="A14" s="10" t="s">
        <v>49</v>
      </c>
      <c r="B14" s="10"/>
      <c r="C14" s="10"/>
      <c r="D14" s="10" t="s">
        <v>50</v>
      </c>
      <c r="E14" s="214">
        <f>55975.85-116386.4</f>
        <v>-60410.549999999996</v>
      </c>
      <c r="F14" s="214">
        <f>-1035.16-2057.01-0.01</f>
        <v>-3092.1800000000003</v>
      </c>
    </row>
    <row r="15" spans="1:6" ht="27" customHeight="1">
      <c r="A15" s="10" t="s">
        <v>51</v>
      </c>
      <c r="B15" s="10"/>
      <c r="C15" s="10"/>
      <c r="D15" s="10" t="s">
        <v>52</v>
      </c>
      <c r="E15" s="214"/>
      <c r="F15" s="214"/>
    </row>
    <row r="16" spans="1:6" ht="18.75" customHeight="1">
      <c r="A16" s="29" t="s">
        <v>53</v>
      </c>
      <c r="B16" s="10"/>
      <c r="C16" s="10"/>
      <c r="D16" s="10" t="s">
        <v>54</v>
      </c>
      <c r="E16" s="214"/>
      <c r="F16" s="214"/>
    </row>
    <row r="17" spans="1:6" ht="19.5" customHeight="1">
      <c r="A17" s="28" t="s">
        <v>55</v>
      </c>
      <c r="B17" s="10"/>
      <c r="C17" s="10"/>
      <c r="D17" s="10" t="s">
        <v>56</v>
      </c>
      <c r="E17" s="214"/>
      <c r="F17" s="214"/>
    </row>
    <row r="18" spans="1:6" ht="16.5" customHeight="1">
      <c r="A18" s="10" t="s">
        <v>9</v>
      </c>
      <c r="B18" s="10"/>
      <c r="C18" s="10"/>
      <c r="D18" s="10" t="s">
        <v>57</v>
      </c>
      <c r="E18" s="214"/>
      <c r="F18" s="214"/>
    </row>
    <row r="19" spans="1:6" ht="24.75" customHeight="1">
      <c r="A19" s="10" t="s">
        <v>10</v>
      </c>
      <c r="B19" s="10"/>
      <c r="C19" s="10"/>
      <c r="D19" s="10" t="s">
        <v>20</v>
      </c>
      <c r="E19" s="214"/>
      <c r="F19" s="214"/>
    </row>
    <row r="20" spans="1:6" ht="12.75">
      <c r="A20" s="29" t="s">
        <v>41</v>
      </c>
      <c r="B20" s="71">
        <f>B19+B18</f>
        <v>0</v>
      </c>
      <c r="C20" s="71">
        <f>C19+C18</f>
        <v>0</v>
      </c>
      <c r="D20" s="29" t="s">
        <v>41</v>
      </c>
      <c r="E20" s="223">
        <f>E14+E16+E15</f>
        <v>-60410.549999999996</v>
      </c>
      <c r="F20" s="223">
        <f>F14+F16+F15</f>
        <v>-3092.1800000000003</v>
      </c>
    </row>
    <row r="21" spans="1:6" ht="12.75">
      <c r="A21" s="71"/>
      <c r="B21" s="10"/>
      <c r="C21" s="10"/>
      <c r="D21" s="28" t="s">
        <v>58</v>
      </c>
      <c r="E21" s="214"/>
      <c r="F21" s="214"/>
    </row>
    <row r="22" spans="1:6" ht="18.75" customHeight="1">
      <c r="A22" s="10"/>
      <c r="B22" s="10"/>
      <c r="C22" s="10"/>
      <c r="D22" s="10" t="s">
        <v>59</v>
      </c>
      <c r="E22" s="214">
        <f>E23+E24</f>
        <v>31534.48</v>
      </c>
      <c r="F22" s="214">
        <f>F23+F24</f>
        <v>0</v>
      </c>
    </row>
    <row r="23" spans="1:6" ht="16.5" customHeight="1">
      <c r="A23" s="10"/>
      <c r="B23" s="10"/>
      <c r="C23" s="10"/>
      <c r="D23" s="10" t="s">
        <v>60</v>
      </c>
      <c r="E23" s="214">
        <v>31534.48</v>
      </c>
      <c r="F23" s="214"/>
    </row>
    <row r="24" spans="1:6" ht="15.75" customHeight="1">
      <c r="A24" s="10"/>
      <c r="B24" s="10"/>
      <c r="C24" s="10"/>
      <c r="D24" s="10" t="s">
        <v>61</v>
      </c>
      <c r="E24" s="214"/>
      <c r="F24" s="214"/>
    </row>
    <row r="25" spans="1:6" ht="15.75" customHeight="1">
      <c r="A25" s="10"/>
      <c r="B25" s="10"/>
      <c r="C25" s="10"/>
      <c r="D25" s="9" t="s">
        <v>62</v>
      </c>
      <c r="E25" s="214">
        <v>184940.13</v>
      </c>
      <c r="F25" s="214">
        <v>31534.48</v>
      </c>
    </row>
    <row r="26" spans="1:7" ht="13.5" customHeight="1">
      <c r="A26" s="10"/>
      <c r="B26" s="10"/>
      <c r="C26" s="10"/>
      <c r="D26" s="29" t="s">
        <v>63</v>
      </c>
      <c r="E26" s="223">
        <f>E22+E25</f>
        <v>216474.61000000002</v>
      </c>
      <c r="F26" s="223">
        <f>F22+F25</f>
        <v>31534.48</v>
      </c>
      <c r="G26" s="229"/>
    </row>
    <row r="27" spans="1:6" ht="12.75">
      <c r="A27" s="29" t="s">
        <v>64</v>
      </c>
      <c r="B27" s="71">
        <f>B20</f>
        <v>0</v>
      </c>
      <c r="C27" s="71">
        <f>C20</f>
        <v>0</v>
      </c>
      <c r="D27" s="30" t="s">
        <v>65</v>
      </c>
      <c r="E27" s="224">
        <f>E26+E20+E12</f>
        <v>774906.3</v>
      </c>
      <c r="F27" s="224">
        <f>F26+F20+F12</f>
        <v>591703.49</v>
      </c>
    </row>
    <row r="28" spans="1:6" ht="12" customHeight="1">
      <c r="A28" s="10"/>
      <c r="B28" s="10"/>
      <c r="C28" s="10"/>
      <c r="D28" s="10"/>
      <c r="E28" s="250"/>
      <c r="F28" s="250"/>
    </row>
    <row r="29" spans="1:6" ht="12.75">
      <c r="A29" s="11" t="s">
        <v>66</v>
      </c>
      <c r="B29" s="9"/>
      <c r="C29" s="9"/>
      <c r="D29" s="11" t="s">
        <v>67</v>
      </c>
      <c r="E29" s="251"/>
      <c r="F29" s="251"/>
    </row>
    <row r="30" spans="1:6" ht="15" customHeight="1">
      <c r="A30" s="31" t="s">
        <v>68</v>
      </c>
      <c r="B30" s="211"/>
      <c r="C30" s="211"/>
      <c r="D30" s="10" t="s">
        <v>69</v>
      </c>
      <c r="E30" s="251"/>
      <c r="F30" s="251"/>
    </row>
    <row r="31" spans="1:6" ht="16.5" customHeight="1">
      <c r="A31" s="9" t="s">
        <v>11</v>
      </c>
      <c r="B31" s="211"/>
      <c r="C31" s="211"/>
      <c r="D31" s="31" t="s">
        <v>70</v>
      </c>
      <c r="E31" s="251"/>
      <c r="F31" s="251"/>
    </row>
    <row r="32" spans="1:6" ht="18" customHeight="1">
      <c r="A32" s="9" t="s">
        <v>12</v>
      </c>
      <c r="B32" s="211">
        <v>14142.53</v>
      </c>
      <c r="C32" s="211">
        <v>38689.55</v>
      </c>
      <c r="D32" s="113" t="s">
        <v>327</v>
      </c>
      <c r="E32" s="251"/>
      <c r="F32" s="251"/>
    </row>
    <row r="33" spans="1:6" ht="25.5" customHeight="1">
      <c r="A33" s="9" t="s">
        <v>13</v>
      </c>
      <c r="B33" s="211">
        <v>233443.75</v>
      </c>
      <c r="C33" s="211">
        <v>110531.25</v>
      </c>
      <c r="D33" s="10" t="s">
        <v>329</v>
      </c>
      <c r="E33" s="251">
        <f>E34</f>
        <v>430.04</v>
      </c>
      <c r="F33" s="251">
        <f>F34</f>
        <v>766.21</v>
      </c>
    </row>
    <row r="34" spans="1:6" ht="14.25" customHeight="1">
      <c r="A34" s="9" t="s">
        <v>14</v>
      </c>
      <c r="B34" s="211">
        <f>B33</f>
        <v>233443.75</v>
      </c>
      <c r="C34" s="211">
        <v>110531.25</v>
      </c>
      <c r="D34" s="10" t="s">
        <v>328</v>
      </c>
      <c r="E34" s="251">
        <v>430.04</v>
      </c>
      <c r="F34" s="251">
        <f>389.21+377</f>
        <v>766.21</v>
      </c>
    </row>
    <row r="35" spans="1:6" ht="15.75" customHeight="1">
      <c r="A35" s="9" t="s">
        <v>15</v>
      </c>
      <c r="B35" s="211"/>
      <c r="C35" s="211"/>
      <c r="D35" s="113" t="s">
        <v>264</v>
      </c>
      <c r="E35" s="251">
        <f>157.85+104.96</f>
        <v>262.81</v>
      </c>
      <c r="F35" s="251">
        <f>40.34+2112.3</f>
        <v>2152.6400000000003</v>
      </c>
    </row>
    <row r="36" spans="1:6" ht="18.75" customHeight="1">
      <c r="A36" s="30" t="s">
        <v>23</v>
      </c>
      <c r="B36" s="241">
        <f>B31+B32+B33+B35</f>
        <v>247586.28</v>
      </c>
      <c r="C36" s="241">
        <f>C31+C32+C33+C35</f>
        <v>149220.8</v>
      </c>
      <c r="D36" s="113" t="s">
        <v>330</v>
      </c>
      <c r="E36" s="251"/>
      <c r="F36" s="251"/>
    </row>
    <row r="37" spans="1:6" ht="16.5" customHeight="1">
      <c r="A37" s="31" t="s">
        <v>71</v>
      </c>
      <c r="B37" s="211"/>
      <c r="C37" s="211"/>
      <c r="D37" s="113" t="s">
        <v>331</v>
      </c>
      <c r="E37" s="251"/>
      <c r="F37" s="251"/>
    </row>
    <row r="38" spans="1:6" ht="24" customHeight="1">
      <c r="A38" s="9" t="s">
        <v>16</v>
      </c>
      <c r="B38" s="211">
        <f>SUM(B39:B40)</f>
        <v>532266.0900000001</v>
      </c>
      <c r="C38" s="211">
        <f>SUM(C39:C40)</f>
        <v>444993.49</v>
      </c>
      <c r="D38" s="113" t="s">
        <v>332</v>
      </c>
      <c r="E38" s="251"/>
      <c r="F38" s="251"/>
    </row>
    <row r="39" spans="1:6" ht="18" customHeight="1">
      <c r="A39" s="9" t="s">
        <v>17</v>
      </c>
      <c r="B39" s="211">
        <v>151920.64</v>
      </c>
      <c r="C39" s="211">
        <f>99266.26-0.26</f>
        <v>99266</v>
      </c>
      <c r="D39" s="113" t="s">
        <v>385</v>
      </c>
      <c r="E39" s="251">
        <f>1036.09+9676.5</f>
        <v>10712.59</v>
      </c>
      <c r="F39" s="251">
        <f>500.09</f>
        <v>500.09</v>
      </c>
    </row>
    <row r="40" spans="1:6" ht="18" customHeight="1">
      <c r="A40" s="9" t="s">
        <v>19</v>
      </c>
      <c r="B40" s="211">
        <v>380345.45</v>
      </c>
      <c r="C40" s="225">
        <f>3530.81+3300.82+170235.3+168660.41+0.26-0.11</f>
        <v>345727.49</v>
      </c>
      <c r="D40" s="30" t="s">
        <v>23</v>
      </c>
      <c r="E40" s="241">
        <f>E32+E33+E35+E36+E37+E38+E39</f>
        <v>11405.44</v>
      </c>
      <c r="F40" s="241">
        <f>F32+F33+F35+F36+F37+F38+F39</f>
        <v>3418.9400000000005</v>
      </c>
    </row>
    <row r="41" spans="1:6" ht="12.75">
      <c r="A41" s="9" t="s">
        <v>18</v>
      </c>
      <c r="B41" s="211"/>
      <c r="C41" s="211"/>
      <c r="D41" s="30"/>
      <c r="E41" s="211"/>
      <c r="F41" s="9"/>
    </row>
    <row r="42" spans="1:6" ht="12.75">
      <c r="A42" s="9" t="s">
        <v>20</v>
      </c>
      <c r="B42" s="211"/>
      <c r="C42" s="211"/>
      <c r="D42" s="113"/>
      <c r="E42" s="211"/>
      <c r="F42" s="9"/>
    </row>
    <row r="43" spans="1:6" ht="12.75">
      <c r="A43" s="9" t="s">
        <v>21</v>
      </c>
      <c r="B43" s="211"/>
      <c r="C43" s="211"/>
      <c r="D43" s="113"/>
      <c r="E43" s="211"/>
      <c r="F43" s="9"/>
    </row>
    <row r="44" spans="1:6" ht="12.75">
      <c r="A44" s="9" t="s">
        <v>17</v>
      </c>
      <c r="B44" s="211"/>
      <c r="C44" s="211"/>
      <c r="D44" s="113"/>
      <c r="E44" s="211"/>
      <c r="F44" s="9"/>
    </row>
    <row r="45" spans="1:6" ht="12.75">
      <c r="A45" s="9" t="s">
        <v>19</v>
      </c>
      <c r="B45" s="211"/>
      <c r="C45" s="211"/>
      <c r="D45" s="9"/>
      <c r="E45" s="211"/>
      <c r="F45" s="9"/>
    </row>
    <row r="46" spans="1:6" ht="12.75">
      <c r="A46" s="9" t="s">
        <v>20</v>
      </c>
      <c r="B46" s="211"/>
      <c r="C46" s="211"/>
      <c r="D46" s="9"/>
      <c r="E46" s="211"/>
      <c r="F46" s="9"/>
    </row>
    <row r="47" spans="1:6" ht="12.75">
      <c r="A47" s="9" t="s">
        <v>22</v>
      </c>
      <c r="B47" s="211"/>
      <c r="C47" s="211"/>
      <c r="D47" s="9"/>
      <c r="E47" s="211"/>
      <c r="F47" s="9"/>
    </row>
    <row r="48" spans="1:6" ht="12.75">
      <c r="A48" s="30" t="s">
        <v>24</v>
      </c>
      <c r="B48" s="241">
        <f>B38+B43+B47</f>
        <v>532266.0900000001</v>
      </c>
      <c r="C48" s="241">
        <f>C38+C43+C47</f>
        <v>444993.49</v>
      </c>
      <c r="D48" s="9"/>
      <c r="E48" s="211"/>
      <c r="F48" s="9"/>
    </row>
    <row r="49" spans="1:6" ht="12.75">
      <c r="A49" s="31" t="s">
        <v>72</v>
      </c>
      <c r="B49" s="211"/>
      <c r="C49" s="211"/>
      <c r="D49" s="10"/>
      <c r="E49" s="211"/>
      <c r="F49" s="9"/>
    </row>
    <row r="50" spans="1:6" ht="12.75">
      <c r="A50" s="10" t="s">
        <v>25</v>
      </c>
      <c r="B50" s="214"/>
      <c r="C50" s="214"/>
      <c r="D50" s="10"/>
      <c r="E50" s="214"/>
      <c r="F50" s="10"/>
    </row>
    <row r="51" spans="1:6" ht="15" customHeight="1">
      <c r="A51" s="10" t="s">
        <v>236</v>
      </c>
      <c r="B51" s="214">
        <f>27.44+100+4800+88.38+1443.56</f>
        <v>6459.379999999999</v>
      </c>
      <c r="C51" s="214">
        <f>880.6+27.44</f>
        <v>908.0400000000001</v>
      </c>
      <c r="D51" s="10"/>
      <c r="E51" s="214"/>
      <c r="F51" s="10"/>
    </row>
    <row r="52" spans="1:6" ht="14.25" customHeight="1">
      <c r="A52" s="29" t="s">
        <v>26</v>
      </c>
      <c r="B52" s="223">
        <f>B51</f>
        <v>6459.379999999999</v>
      </c>
      <c r="C52" s="223">
        <f>C51</f>
        <v>908.0400000000001</v>
      </c>
      <c r="D52" s="30"/>
      <c r="E52" s="214"/>
      <c r="F52" s="10"/>
    </row>
    <row r="53" spans="1:6" ht="19.5" customHeight="1">
      <c r="A53" s="28" t="s">
        <v>73</v>
      </c>
      <c r="B53" s="223"/>
      <c r="C53" s="223"/>
      <c r="D53" s="71" t="s">
        <v>386</v>
      </c>
      <c r="E53" s="214"/>
      <c r="F53" s="10"/>
    </row>
    <row r="54" spans="1:6" ht="14.25" customHeight="1">
      <c r="A54" s="226"/>
      <c r="B54" s="252"/>
      <c r="C54" s="252"/>
      <c r="D54" s="226"/>
      <c r="E54" s="252"/>
      <c r="F54" s="226"/>
    </row>
    <row r="55" spans="1:6" ht="18" customHeight="1">
      <c r="A55" s="29" t="s">
        <v>74</v>
      </c>
      <c r="B55" s="223">
        <f>B36+B48+B52+B53</f>
        <v>786311.7500000001</v>
      </c>
      <c r="C55" s="223">
        <f>C36+C48+C52+C53</f>
        <v>595122.3300000001</v>
      </c>
      <c r="D55" s="30" t="s">
        <v>74</v>
      </c>
      <c r="E55" s="223">
        <f>E40+E53</f>
        <v>11405.44</v>
      </c>
      <c r="F55" s="223">
        <f>F40+F53</f>
        <v>3418.9400000000005</v>
      </c>
    </row>
    <row r="56" spans="1:6" ht="15.75" customHeight="1">
      <c r="A56" s="29" t="s">
        <v>76</v>
      </c>
      <c r="B56" s="223">
        <f>B55+B27</f>
        <v>786311.7500000001</v>
      </c>
      <c r="C56" s="223">
        <f>C55+C27</f>
        <v>595122.3300000001</v>
      </c>
      <c r="D56" s="29" t="s">
        <v>75</v>
      </c>
      <c r="E56" s="223">
        <f>E27+E55</f>
        <v>786311.74</v>
      </c>
      <c r="F56" s="223">
        <f>F27+F55</f>
        <v>595122.4299999999</v>
      </c>
    </row>
    <row r="57" spans="1:7" ht="15.75" customHeight="1">
      <c r="A57" s="227"/>
      <c r="B57" s="228"/>
      <c r="C57" s="228"/>
      <c r="D57" s="227"/>
      <c r="E57" s="228"/>
      <c r="F57" s="228"/>
      <c r="G57" s="229"/>
    </row>
    <row r="58" spans="1:7" ht="15.75" customHeight="1">
      <c r="A58" s="227"/>
      <c r="B58" s="230"/>
      <c r="C58" s="228"/>
      <c r="D58" s="227"/>
      <c r="E58" s="228"/>
      <c r="F58" s="228"/>
      <c r="G58" s="229"/>
    </row>
    <row r="59" spans="1:7" ht="15.75" customHeight="1">
      <c r="A59" s="227"/>
      <c r="B59" s="228"/>
      <c r="C59" s="228"/>
      <c r="D59" s="227"/>
      <c r="E59" s="228"/>
      <c r="F59" s="228"/>
      <c r="G59" s="229"/>
    </row>
    <row r="60" spans="1:7" ht="15.75" customHeight="1">
      <c r="A60" s="227"/>
      <c r="B60" s="228"/>
      <c r="C60" s="228"/>
      <c r="D60" s="227"/>
      <c r="E60" s="228"/>
      <c r="F60" s="228"/>
      <c r="G60" s="229"/>
    </row>
    <row r="61" spans="1:6" ht="15.75" customHeight="1">
      <c r="A61" s="227"/>
      <c r="B61" s="230"/>
      <c r="C61" s="228"/>
      <c r="D61" s="227"/>
      <c r="E61" s="228"/>
      <c r="F61" s="228"/>
    </row>
    <row r="62" spans="1:6" ht="12.75">
      <c r="A62" s="231" t="s">
        <v>406</v>
      </c>
      <c r="B62" s="314" t="s">
        <v>356</v>
      </c>
      <c r="C62" s="314"/>
      <c r="D62" s="81" t="s">
        <v>411</v>
      </c>
      <c r="E62" s="94"/>
      <c r="F62" s="8"/>
    </row>
    <row r="63" spans="1:6" ht="12.75">
      <c r="A63" s="8"/>
      <c r="B63" s="313" t="s">
        <v>394</v>
      </c>
      <c r="C63" s="313"/>
      <c r="D63" s="313" t="s">
        <v>391</v>
      </c>
      <c r="E63" s="313"/>
      <c r="F63" s="8"/>
    </row>
    <row r="65" spans="2:5" ht="12.75">
      <c r="B65" s="229"/>
      <c r="D65" s="81" t="s">
        <v>411</v>
      </c>
      <c r="E65" s="94"/>
    </row>
    <row r="66" spans="4:5" ht="12.75">
      <c r="D66" s="313" t="s">
        <v>412</v>
      </c>
      <c r="E66" s="313"/>
    </row>
  </sheetData>
  <mergeCells count="8">
    <mergeCell ref="E1:F1"/>
    <mergeCell ref="C4:D4"/>
    <mergeCell ref="A6:B6"/>
    <mergeCell ref="E6:F6"/>
    <mergeCell ref="D66:E66"/>
    <mergeCell ref="B62:C62"/>
    <mergeCell ref="B63:C63"/>
    <mergeCell ref="D63:E63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2">
      <selection activeCell="D50" sqref="D50"/>
    </sheetView>
  </sheetViews>
  <sheetFormatPr defaultColWidth="9.140625" defaultRowHeight="12.75"/>
  <cols>
    <col min="1" max="1" width="29.8515625" style="7" customWidth="1"/>
    <col min="2" max="3" width="9.140625" style="7" customWidth="1"/>
    <col min="4" max="4" width="29.8515625" style="7" customWidth="1"/>
    <col min="5" max="5" width="17.57421875" style="7" customWidth="1"/>
    <col min="6" max="16384" width="9.140625" style="7" customWidth="1"/>
  </cols>
  <sheetData>
    <row r="1" spans="5:6" ht="15" customHeight="1">
      <c r="E1" s="315" t="s">
        <v>361</v>
      </c>
      <c r="F1" s="315"/>
    </row>
    <row r="2" spans="5:6" ht="12" customHeight="1">
      <c r="E2" s="232"/>
      <c r="F2" s="232"/>
    </row>
    <row r="3" spans="5:6" ht="12" customHeight="1">
      <c r="E3" s="232"/>
      <c r="F3" s="232"/>
    </row>
    <row r="4" spans="5:6" ht="12.75">
      <c r="E4" s="48"/>
      <c r="F4" s="48"/>
    </row>
    <row r="5" spans="1:6" ht="12.75" customHeight="1">
      <c r="A5" s="49"/>
      <c r="C5" s="320" t="s">
        <v>27</v>
      </c>
      <c r="D5" s="320"/>
      <c r="E5" s="48"/>
      <c r="F5" s="48"/>
    </row>
    <row r="6" spans="5:6" ht="12.75">
      <c r="E6" s="48"/>
      <c r="F6" s="48"/>
    </row>
    <row r="7" spans="1:6" ht="12.75">
      <c r="A7" s="319"/>
      <c r="B7" s="319"/>
      <c r="E7" s="48"/>
      <c r="F7" s="48"/>
    </row>
    <row r="8" spans="1:6" ht="12.75" customHeight="1">
      <c r="A8" s="322" t="str">
        <f>'справка № 1ДФ-БАЛАНС'!A6</f>
        <v>ДФ "КД ОБЛИГАЦИИ БЪЛГАРИЯ"</v>
      </c>
      <c r="B8" s="322"/>
      <c r="C8" s="322"/>
      <c r="D8" s="321" t="s">
        <v>378</v>
      </c>
      <c r="E8" s="321"/>
      <c r="F8" s="321"/>
    </row>
    <row r="9" spans="1:7" ht="12.75">
      <c r="A9" s="253" t="str">
        <f>'справка № 1ДФ-БАЛАНС'!A7</f>
        <v>Отчетен период: 01.01.2007 - 31.12.2007</v>
      </c>
      <c r="B9" s="14"/>
      <c r="C9" s="14"/>
      <c r="D9" s="13"/>
      <c r="E9" s="115"/>
      <c r="F9" s="260" t="s">
        <v>126</v>
      </c>
      <c r="G9" s="51"/>
    </row>
    <row r="10" spans="1:7" ht="25.5">
      <c r="A10" s="117" t="s">
        <v>28</v>
      </c>
      <c r="B10" s="117" t="s">
        <v>2</v>
      </c>
      <c r="C10" s="117" t="s">
        <v>5</v>
      </c>
      <c r="D10" s="117" t="s">
        <v>29</v>
      </c>
      <c r="E10" s="117" t="s">
        <v>2</v>
      </c>
      <c r="F10" s="117" t="s">
        <v>5</v>
      </c>
      <c r="G10" s="51"/>
    </row>
    <row r="11" spans="1:7" ht="12.75">
      <c r="A11" s="15" t="s">
        <v>6</v>
      </c>
      <c r="B11" s="15">
        <v>1</v>
      </c>
      <c r="C11" s="15">
        <v>2</v>
      </c>
      <c r="D11" s="15" t="s">
        <v>6</v>
      </c>
      <c r="E11" s="15">
        <v>1</v>
      </c>
      <c r="F11" s="15">
        <v>2</v>
      </c>
      <c r="G11" s="51"/>
    </row>
    <row r="12" spans="1:7" ht="18" customHeight="1">
      <c r="A12" s="16" t="s">
        <v>30</v>
      </c>
      <c r="B12" s="17"/>
      <c r="C12" s="17"/>
      <c r="D12" s="16" t="s">
        <v>31</v>
      </c>
      <c r="E12" s="116"/>
      <c r="F12" s="116"/>
      <c r="G12" s="51"/>
    </row>
    <row r="13" spans="1:7" s="19" customFormat="1" ht="12">
      <c r="A13" s="22" t="s">
        <v>32</v>
      </c>
      <c r="B13" s="23"/>
      <c r="C13" s="23"/>
      <c r="D13" s="22" t="s">
        <v>77</v>
      </c>
      <c r="E13" s="23"/>
      <c r="F13" s="23"/>
      <c r="G13" s="18"/>
    </row>
    <row r="14" spans="1:7" s="21" customFormat="1" ht="12">
      <c r="A14" s="24" t="s">
        <v>33</v>
      </c>
      <c r="B14" s="24"/>
      <c r="C14" s="24"/>
      <c r="D14" s="24" t="s">
        <v>78</v>
      </c>
      <c r="E14" s="24">
        <v>200</v>
      </c>
      <c r="F14" s="24">
        <v>405</v>
      </c>
      <c r="G14" s="20"/>
    </row>
    <row r="15" spans="1:7" s="21" customFormat="1" ht="23.25" customHeight="1">
      <c r="A15" s="24" t="s">
        <v>343</v>
      </c>
      <c r="B15" s="212">
        <f>B16+12883.56</f>
        <v>341516.88</v>
      </c>
      <c r="C15" s="212">
        <f>233.7+75803.47</f>
        <v>76037.17</v>
      </c>
      <c r="D15" s="24" t="s">
        <v>79</v>
      </c>
      <c r="E15" s="212">
        <f>1622.41+E16</f>
        <v>499248.02999999997</v>
      </c>
      <c r="F15" s="212">
        <f>310.78+97181.72</f>
        <v>97492.5</v>
      </c>
      <c r="G15" s="280"/>
    </row>
    <row r="16" spans="1:7" s="21" customFormat="1" ht="30" customHeight="1">
      <c r="A16" s="24" t="s">
        <v>34</v>
      </c>
      <c r="B16" s="212">
        <v>328633.32</v>
      </c>
      <c r="C16" s="212">
        <v>75803.47</v>
      </c>
      <c r="D16" s="24" t="s">
        <v>80</v>
      </c>
      <c r="E16" s="212">
        <v>497625.62</v>
      </c>
      <c r="F16" s="212">
        <v>97181.72</v>
      </c>
      <c r="G16" s="20"/>
    </row>
    <row r="17" spans="1:7" s="21" customFormat="1" ht="24">
      <c r="A17" s="24" t="s">
        <v>81</v>
      </c>
      <c r="B17" s="212">
        <f>10.81+18.9</f>
        <v>29.71</v>
      </c>
      <c r="C17" s="212">
        <f>2.88</f>
        <v>2.88</v>
      </c>
      <c r="D17" s="24" t="s">
        <v>237</v>
      </c>
      <c r="E17" s="212">
        <v>0.39</v>
      </c>
      <c r="F17" s="212"/>
      <c r="G17" s="20"/>
    </row>
    <row r="18" spans="1:7" s="21" customFormat="1" ht="12">
      <c r="A18" s="24" t="s">
        <v>35</v>
      </c>
      <c r="B18" s="212">
        <v>105.19</v>
      </c>
      <c r="C18" s="212">
        <v>66</v>
      </c>
      <c r="D18" s="32" t="s">
        <v>82</v>
      </c>
      <c r="E18" s="212">
        <v>44474.16</v>
      </c>
      <c r="F18" s="212">
        <v>18130.13</v>
      </c>
      <c r="G18" s="20"/>
    </row>
    <row r="19" spans="1:6" s="21" customFormat="1" ht="12">
      <c r="A19" s="25" t="s">
        <v>36</v>
      </c>
      <c r="B19" s="236">
        <f>B15+B17+B18</f>
        <v>341651.78</v>
      </c>
      <c r="C19" s="236">
        <f>C15+C17+C18</f>
        <v>76106.05</v>
      </c>
      <c r="D19" s="24" t="s">
        <v>40</v>
      </c>
      <c r="E19" s="24"/>
      <c r="F19" s="24"/>
    </row>
    <row r="20" spans="1:6" s="21" customFormat="1" ht="12">
      <c r="A20" s="24"/>
      <c r="B20" s="24"/>
      <c r="C20" s="24"/>
      <c r="D20" s="25" t="s">
        <v>36</v>
      </c>
      <c r="E20" s="213">
        <f>E15+E18+E14</f>
        <v>543922.19</v>
      </c>
      <c r="F20" s="213">
        <f>F15+F18+F14</f>
        <v>116027.63</v>
      </c>
    </row>
    <row r="21" spans="1:6" s="21" customFormat="1" ht="12">
      <c r="A21" s="26" t="s">
        <v>37</v>
      </c>
      <c r="B21" s="24"/>
      <c r="C21" s="24"/>
      <c r="D21" s="24"/>
      <c r="E21" s="24"/>
      <c r="F21" s="24"/>
    </row>
    <row r="22" spans="1:6" s="21" customFormat="1" ht="12">
      <c r="A22" s="98" t="s">
        <v>238</v>
      </c>
      <c r="B22" s="24"/>
      <c r="C22" s="24"/>
      <c r="D22" s="26" t="s">
        <v>83</v>
      </c>
      <c r="E22" s="24"/>
      <c r="F22" s="24"/>
    </row>
    <row r="23" spans="1:6" s="21" customFormat="1" ht="12">
      <c r="A23" s="24" t="s">
        <v>357</v>
      </c>
      <c r="B23" s="237">
        <v>17290.35</v>
      </c>
      <c r="C23" s="237">
        <v>8387.1</v>
      </c>
      <c r="D23" s="24"/>
      <c r="E23" s="24"/>
      <c r="F23" s="24"/>
    </row>
    <row r="24" spans="1:6" s="21" customFormat="1" ht="12">
      <c r="A24" s="24" t="s">
        <v>38</v>
      </c>
      <c r="B24" s="24"/>
      <c r="C24" s="24"/>
      <c r="D24" s="26"/>
      <c r="E24" s="24"/>
      <c r="F24" s="24"/>
    </row>
    <row r="25" spans="1:6" s="21" customFormat="1" ht="24">
      <c r="A25" s="24" t="s">
        <v>39</v>
      </c>
      <c r="B25" s="24"/>
      <c r="C25" s="24"/>
      <c r="D25" s="24"/>
      <c r="E25" s="24"/>
      <c r="F25" s="24"/>
    </row>
    <row r="26" spans="1:6" s="21" customFormat="1" ht="12">
      <c r="A26" s="24" t="s">
        <v>40</v>
      </c>
      <c r="B26" s="24"/>
      <c r="C26" s="24"/>
      <c r="D26" s="25" t="s">
        <v>41</v>
      </c>
      <c r="E26" s="24"/>
      <c r="F26" s="24"/>
    </row>
    <row r="27" spans="1:6" s="21" customFormat="1" ht="12">
      <c r="A27" s="25" t="s">
        <v>41</v>
      </c>
      <c r="B27" s="236">
        <f>B22+B23+B24+B25+B26</f>
        <v>17290.35</v>
      </c>
      <c r="C27" s="236">
        <f>C22+C23+C24+C25+C26</f>
        <v>8387.1</v>
      </c>
      <c r="D27" s="25"/>
      <c r="E27" s="24"/>
      <c r="F27" s="24"/>
    </row>
    <row r="28" spans="1:6" s="21" customFormat="1" ht="12">
      <c r="A28" s="25"/>
      <c r="B28" s="237"/>
      <c r="C28" s="237"/>
      <c r="D28" s="26"/>
      <c r="E28" s="24"/>
      <c r="F28" s="24"/>
    </row>
    <row r="29" spans="1:6" s="21" customFormat="1" ht="12.75" customHeight="1">
      <c r="A29" s="26" t="s">
        <v>42</v>
      </c>
      <c r="B29" s="236">
        <f>B19+B27</f>
        <v>358942.13</v>
      </c>
      <c r="C29" s="236">
        <f>C19+C27</f>
        <v>84493.15000000001</v>
      </c>
      <c r="D29" s="26" t="s">
        <v>84</v>
      </c>
      <c r="E29" s="236">
        <f>E20+E26</f>
        <v>543922.19</v>
      </c>
      <c r="F29" s="236">
        <f>F20+F26</f>
        <v>116027.63</v>
      </c>
    </row>
    <row r="30" spans="1:6" s="21" customFormat="1" ht="13.5" customHeight="1">
      <c r="A30" s="26" t="s">
        <v>43</v>
      </c>
      <c r="B30" s="236">
        <f>E29-B29</f>
        <v>184980.05999999994</v>
      </c>
      <c r="C30" s="236">
        <f>F29-C29</f>
        <v>31534.479999999996</v>
      </c>
      <c r="D30" s="26" t="s">
        <v>85</v>
      </c>
      <c r="E30" s="236"/>
      <c r="F30" s="236"/>
    </row>
    <row r="31" spans="1:6" s="21" customFormat="1" ht="14.25" customHeight="1">
      <c r="A31" s="26" t="s">
        <v>86</v>
      </c>
      <c r="B31" s="237"/>
      <c r="C31" s="237"/>
      <c r="D31" s="26" t="s">
        <v>87</v>
      </c>
      <c r="E31" s="237"/>
      <c r="F31" s="237"/>
    </row>
    <row r="32" spans="1:6" s="21" customFormat="1" ht="13.5" customHeight="1">
      <c r="A32" s="99" t="s">
        <v>333</v>
      </c>
      <c r="B32" s="236">
        <f>B29+B31</f>
        <v>358942.13</v>
      </c>
      <c r="C32" s="236">
        <f>C29+C31</f>
        <v>84493.15000000001</v>
      </c>
      <c r="D32" s="26" t="s">
        <v>353</v>
      </c>
      <c r="E32" s="236">
        <f>E20+E26+E31</f>
        <v>543922.19</v>
      </c>
      <c r="F32" s="236">
        <f>F20+F26+F31</f>
        <v>116027.63</v>
      </c>
    </row>
    <row r="33" spans="1:6" s="21" customFormat="1" ht="17.25" customHeight="1">
      <c r="A33" s="26" t="s">
        <v>338</v>
      </c>
      <c r="B33" s="236">
        <f>B30</f>
        <v>184980.05999999994</v>
      </c>
      <c r="C33" s="236">
        <f>C30</f>
        <v>31534.479999999996</v>
      </c>
      <c r="D33" s="26" t="s">
        <v>339</v>
      </c>
      <c r="E33" s="236">
        <f>E30</f>
        <v>0</v>
      </c>
      <c r="F33" s="236">
        <f>F30</f>
        <v>0</v>
      </c>
    </row>
    <row r="34" spans="1:6" s="21" customFormat="1" ht="15.75" customHeight="1">
      <c r="A34" s="26" t="s">
        <v>334</v>
      </c>
      <c r="B34" s="237"/>
      <c r="C34" s="237"/>
      <c r="D34" s="324"/>
      <c r="E34" s="237"/>
      <c r="F34" s="237"/>
    </row>
    <row r="35" spans="1:6" s="21" customFormat="1" ht="15.75" customHeight="1">
      <c r="A35" s="24" t="s">
        <v>335</v>
      </c>
      <c r="B35" s="237"/>
      <c r="C35" s="237"/>
      <c r="D35" s="325"/>
      <c r="E35" s="237"/>
      <c r="F35" s="237"/>
    </row>
    <row r="36" spans="1:6" s="21" customFormat="1" ht="15.75" customHeight="1">
      <c r="A36" s="24" t="s">
        <v>336</v>
      </c>
      <c r="B36" s="237"/>
      <c r="C36" s="237"/>
      <c r="D36" s="325"/>
      <c r="E36" s="237"/>
      <c r="F36" s="237"/>
    </row>
    <row r="37" spans="1:6" s="21" customFormat="1" ht="15.75" customHeight="1">
      <c r="A37" s="25" t="s">
        <v>337</v>
      </c>
      <c r="B37" s="236">
        <f>B35+B36</f>
        <v>0</v>
      </c>
      <c r="C37" s="236">
        <f>C35+C36</f>
        <v>0</v>
      </c>
      <c r="D37" s="325"/>
      <c r="E37" s="237"/>
      <c r="F37" s="237"/>
    </row>
    <row r="38" spans="1:6" s="21" customFormat="1" ht="15" customHeight="1">
      <c r="A38" s="26" t="s">
        <v>341</v>
      </c>
      <c r="B38" s="236">
        <f>B33-B37</f>
        <v>184980.05999999994</v>
      </c>
      <c r="C38" s="236">
        <f>C33-C37</f>
        <v>31534.479999999996</v>
      </c>
      <c r="D38" s="26" t="s">
        <v>342</v>
      </c>
      <c r="E38" s="236">
        <f>E30</f>
        <v>0</v>
      </c>
      <c r="F38" s="236">
        <f>F30</f>
        <v>0</v>
      </c>
    </row>
    <row r="39" spans="1:6" s="21" customFormat="1" ht="17.25" customHeight="1">
      <c r="A39" s="99" t="s">
        <v>340</v>
      </c>
      <c r="B39" s="236">
        <f>B32+B37+B38</f>
        <v>543922.19</v>
      </c>
      <c r="C39" s="236">
        <f>C32+C37+C38</f>
        <v>116027.63</v>
      </c>
      <c r="D39" s="26" t="s">
        <v>88</v>
      </c>
      <c r="E39" s="236">
        <f>E32+E38</f>
        <v>543922.19</v>
      </c>
      <c r="F39" s="236">
        <f>F32+F38</f>
        <v>116027.63</v>
      </c>
    </row>
    <row r="40" s="21" customFormat="1" ht="12"/>
    <row r="41" s="21" customFormat="1" ht="12"/>
    <row r="42" s="21" customFormat="1" ht="12"/>
    <row r="43" s="21" customFormat="1" ht="12"/>
    <row r="44" s="21" customFormat="1" ht="12"/>
    <row r="45" s="21" customFormat="1" ht="12"/>
    <row r="46" s="8" customFormat="1" ht="12.75"/>
    <row r="47" spans="1:5" s="8" customFormat="1" ht="12.75">
      <c r="A47" s="231" t="str">
        <f>'справка № 1ДФ-БАЛАНС'!A62</f>
        <v>Дата: 31.01.2008</v>
      </c>
      <c r="B47" s="314" t="s">
        <v>356</v>
      </c>
      <c r="C47" s="314"/>
      <c r="D47" s="323" t="s">
        <v>413</v>
      </c>
      <c r="E47" s="323"/>
    </row>
    <row r="48" spans="3:6" ht="12.75">
      <c r="C48" s="48" t="s">
        <v>394</v>
      </c>
      <c r="D48" s="48"/>
      <c r="E48" s="323" t="s">
        <v>391</v>
      </c>
      <c r="F48" s="323"/>
    </row>
    <row r="49" ht="12.75">
      <c r="D49" s="62" t="s">
        <v>413</v>
      </c>
    </row>
    <row r="50" s="21" customFormat="1" ht="24">
      <c r="E50" s="21" t="s">
        <v>412</v>
      </c>
    </row>
    <row r="51" s="21" customFormat="1" ht="12">
      <c r="A51" s="19"/>
    </row>
    <row r="52" s="19" customFormat="1" ht="12"/>
    <row r="53" s="19" customFormat="1" ht="12"/>
    <row r="54" s="19" customFormat="1" ht="12"/>
    <row r="55" s="19" customFormat="1" ht="12"/>
    <row r="56" s="19" customFormat="1" ht="12"/>
    <row r="57" s="19" customFormat="1" ht="12"/>
    <row r="58" s="19" customFormat="1" ht="12"/>
    <row r="59" s="19" customFormat="1" ht="12"/>
    <row r="60" s="19" customFormat="1" ht="12"/>
    <row r="61" s="19" customFormat="1" ht="12"/>
    <row r="62" s="19" customFormat="1" ht="12.75">
      <c r="A62" s="7"/>
    </row>
  </sheetData>
  <mergeCells count="9">
    <mergeCell ref="B47:C47"/>
    <mergeCell ref="D47:E47"/>
    <mergeCell ref="E48:F48"/>
    <mergeCell ref="D34:D37"/>
    <mergeCell ref="E1:F1"/>
    <mergeCell ref="A7:B7"/>
    <mergeCell ref="C5:D5"/>
    <mergeCell ref="D8:F8"/>
    <mergeCell ref="A8:C8"/>
  </mergeCells>
  <printOptions/>
  <pageMargins left="0.29527559055118113" right="0" top="1.1811023622047245" bottom="0" header="0.275590551181102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4">
      <selection activeCell="E60" sqref="E60"/>
    </sheetView>
  </sheetViews>
  <sheetFormatPr defaultColWidth="9.140625" defaultRowHeight="12.75"/>
  <cols>
    <col min="1" max="1" width="52.00390625" style="7" customWidth="1"/>
    <col min="2" max="2" width="12.57421875" style="7" customWidth="1"/>
    <col min="3" max="3" width="10.7109375" style="7" customWidth="1"/>
    <col min="4" max="4" width="10.8515625" style="7" customWidth="1"/>
    <col min="5" max="5" width="12.140625" style="7" customWidth="1"/>
    <col min="6" max="6" width="10.8515625" style="7" customWidth="1"/>
    <col min="7" max="7" width="11.140625" style="7" customWidth="1"/>
    <col min="8" max="16384" width="9.140625" style="7" customWidth="1"/>
  </cols>
  <sheetData>
    <row r="1" spans="1:7" ht="12.75" customHeight="1">
      <c r="A1" s="77"/>
      <c r="B1" s="77"/>
      <c r="C1" s="77"/>
      <c r="D1" s="77"/>
      <c r="E1" s="315" t="s">
        <v>363</v>
      </c>
      <c r="F1" s="315"/>
      <c r="G1" s="315"/>
    </row>
    <row r="2" spans="1:7" ht="12.75">
      <c r="A2" s="42"/>
      <c r="B2" s="42"/>
      <c r="C2" s="43"/>
      <c r="D2" s="43"/>
      <c r="E2" s="77"/>
      <c r="F2" s="77"/>
      <c r="G2" s="77"/>
    </row>
    <row r="3" spans="1:7" ht="12.75">
      <c r="A3" s="42"/>
      <c r="B3" s="42"/>
      <c r="C3" s="43"/>
      <c r="D3" s="43"/>
      <c r="E3" s="77"/>
      <c r="F3" s="77"/>
      <c r="G3" s="77"/>
    </row>
    <row r="4" spans="1:7" ht="12.75">
      <c r="A4" s="42"/>
      <c r="B4" s="42"/>
      <c r="C4" s="43"/>
      <c r="D4" s="43"/>
      <c r="E4" s="77"/>
      <c r="F4" s="77"/>
      <c r="G4" s="77"/>
    </row>
    <row r="5" spans="1:7" ht="12.75">
      <c r="A5" s="42"/>
      <c r="B5" s="42"/>
      <c r="C5" s="43"/>
      <c r="D5" s="43"/>
      <c r="E5" s="77"/>
      <c r="F5" s="77"/>
      <c r="G5" s="77"/>
    </row>
    <row r="6" spans="1:7" ht="15">
      <c r="A6" s="328" t="s">
        <v>155</v>
      </c>
      <c r="B6" s="329"/>
      <c r="C6" s="329"/>
      <c r="D6" s="329"/>
      <c r="E6" s="329"/>
      <c r="F6" s="329"/>
      <c r="G6" s="77"/>
    </row>
    <row r="7" spans="1:7" ht="15">
      <c r="A7" s="73"/>
      <c r="B7" s="118"/>
      <c r="C7" s="118"/>
      <c r="D7" s="118"/>
      <c r="E7" s="118"/>
      <c r="F7" s="118"/>
      <c r="G7" s="77"/>
    </row>
    <row r="8" spans="1:7" ht="15">
      <c r="A8" s="73"/>
      <c r="B8" s="118"/>
      <c r="C8" s="118"/>
      <c r="D8" s="118"/>
      <c r="E8" s="118"/>
      <c r="F8" s="118"/>
      <c r="G8" s="77"/>
    </row>
    <row r="9" spans="1:7" ht="12.75">
      <c r="A9" s="44"/>
      <c r="B9" s="44"/>
      <c r="C9" s="45"/>
      <c r="D9" s="45"/>
      <c r="E9" s="77"/>
      <c r="F9" s="77"/>
      <c r="G9" s="77"/>
    </row>
    <row r="10" spans="1:7" ht="15" customHeight="1">
      <c r="A10" s="72" t="str">
        <f>'справка № 1ДФ-БАЛАНС'!A6:B6</f>
        <v>ДФ "КД ОБЛИГАЦИИ БЪЛГАРИЯ"</v>
      </c>
      <c r="B10" s="12"/>
      <c r="D10" s="330" t="s">
        <v>378</v>
      </c>
      <c r="E10" s="330"/>
      <c r="F10" s="330"/>
      <c r="G10" s="330"/>
    </row>
    <row r="11" spans="1:7" ht="12.75">
      <c r="A11" s="193" t="str">
        <f>'справка № 1ДФ-БАЛАНС'!A7</f>
        <v>Отчетен период: 01.01.2007 - 31.12.2007</v>
      </c>
      <c r="B11" s="12"/>
      <c r="C11" s="46"/>
      <c r="D11" s="47"/>
      <c r="E11" s="77"/>
      <c r="F11" s="77"/>
      <c r="G11" s="254" t="s">
        <v>126</v>
      </c>
    </row>
    <row r="12" spans="1:7" ht="13.5" customHeight="1">
      <c r="A12" s="326" t="s">
        <v>127</v>
      </c>
      <c r="B12" s="326" t="s">
        <v>4</v>
      </c>
      <c r="C12" s="326"/>
      <c r="D12" s="326"/>
      <c r="E12" s="326" t="s">
        <v>5</v>
      </c>
      <c r="F12" s="326"/>
      <c r="G12" s="326"/>
    </row>
    <row r="13" spans="1:7" ht="18" customHeight="1">
      <c r="A13" s="327"/>
      <c r="B13" s="96" t="s">
        <v>128</v>
      </c>
      <c r="C13" s="96" t="s">
        <v>129</v>
      </c>
      <c r="D13" s="96" t="s">
        <v>130</v>
      </c>
      <c r="E13" s="96" t="s">
        <v>128</v>
      </c>
      <c r="F13" s="96" t="s">
        <v>129</v>
      </c>
      <c r="G13" s="96" t="s">
        <v>130</v>
      </c>
    </row>
    <row r="14" spans="1:7" s="58" customFormat="1" ht="12">
      <c r="A14" s="90" t="s">
        <v>6</v>
      </c>
      <c r="B14" s="90">
        <v>1</v>
      </c>
      <c r="C14" s="90">
        <v>2</v>
      </c>
      <c r="D14" s="90">
        <v>3</v>
      </c>
      <c r="E14" s="90">
        <v>4</v>
      </c>
      <c r="F14" s="90">
        <v>5</v>
      </c>
      <c r="G14" s="90">
        <v>6</v>
      </c>
    </row>
    <row r="15" spans="1:7" ht="25.5">
      <c r="A15" s="100" t="s">
        <v>131</v>
      </c>
      <c r="B15" s="267"/>
      <c r="C15" s="267"/>
      <c r="D15" s="267"/>
      <c r="E15" s="267"/>
      <c r="F15" s="267"/>
      <c r="G15" s="267"/>
    </row>
    <row r="16" spans="1:7" ht="12.75">
      <c r="A16" s="101" t="s">
        <v>132</v>
      </c>
      <c r="B16" s="264">
        <f>286375.29+19970.2</f>
        <v>306345.49</v>
      </c>
      <c r="C16" s="264">
        <f>311488.86+39328.24</f>
        <v>350817.1</v>
      </c>
      <c r="D16" s="264">
        <f>B16-C16</f>
        <v>-44471.609999999986</v>
      </c>
      <c r="E16" s="264">
        <f>5112+71504.98</f>
        <v>76616.98</v>
      </c>
      <c r="F16" s="264">
        <f>126.58+484603.41+1660+8500</f>
        <v>494889.99</v>
      </c>
      <c r="G16" s="264">
        <f>E16-F16</f>
        <v>-418273.01</v>
      </c>
    </row>
    <row r="17" spans="1:9" ht="12.75">
      <c r="A17" s="101" t="s">
        <v>133</v>
      </c>
      <c r="B17" s="264"/>
      <c r="C17" s="264"/>
      <c r="D17" s="264">
        <v>0</v>
      </c>
      <c r="E17" s="264"/>
      <c r="F17" s="264"/>
      <c r="G17" s="264">
        <v>0</v>
      </c>
      <c r="I17" s="8"/>
    </row>
    <row r="18" spans="1:9" ht="12.75">
      <c r="A18" s="102" t="s">
        <v>150</v>
      </c>
      <c r="B18" s="264">
        <f>14999.09-113.64+49067.14+0.05+6626.08-23.5</f>
        <v>70555.22</v>
      </c>
      <c r="C18" s="264">
        <f>99.88+5.3</f>
        <v>105.17999999999999</v>
      </c>
      <c r="D18" s="264">
        <f>B18-C18</f>
        <v>70450.04000000001</v>
      </c>
      <c r="E18" s="264">
        <f>1774.33+1647.4+752.05+650.83+6027.5+1808.37</f>
        <v>12660.48</v>
      </c>
      <c r="F18" s="264">
        <f>56</f>
        <v>56</v>
      </c>
      <c r="G18" s="264">
        <f>E18-F18</f>
        <v>12604.48</v>
      </c>
      <c r="I18" s="8"/>
    </row>
    <row r="19" spans="1:9" ht="12.75">
      <c r="A19" s="101" t="s">
        <v>148</v>
      </c>
      <c r="B19" s="264"/>
      <c r="C19" s="264"/>
      <c r="D19" s="264">
        <f>B19-C19</f>
        <v>0</v>
      </c>
      <c r="E19" s="264">
        <v>405</v>
      </c>
      <c r="F19" s="264"/>
      <c r="G19" s="264">
        <f>E19-F19</f>
        <v>405</v>
      </c>
      <c r="I19" s="8"/>
    </row>
    <row r="20" spans="1:9" ht="12.75">
      <c r="A20" s="101" t="s">
        <v>135</v>
      </c>
      <c r="B20" s="264">
        <v>0.39</v>
      </c>
      <c r="C20" s="264"/>
      <c r="D20" s="264">
        <f>B20-C20</f>
        <v>0.39</v>
      </c>
      <c r="E20" s="264"/>
      <c r="F20" s="264"/>
      <c r="G20" s="264">
        <f>E20-F20</f>
        <v>0</v>
      </c>
      <c r="I20" s="8"/>
    </row>
    <row r="21" spans="1:9" ht="12.75">
      <c r="A21" s="101" t="s">
        <v>149</v>
      </c>
      <c r="B21" s="264">
        <f>21.3+1.2+0.3+94201.44</f>
        <v>94224.24</v>
      </c>
      <c r="C21" s="264">
        <f>92.44</f>
        <v>92.44</v>
      </c>
      <c r="D21" s="264">
        <f>B21-C21</f>
        <v>94131.8</v>
      </c>
      <c r="E21" s="264"/>
      <c r="F21" s="264"/>
      <c r="G21" s="264">
        <f>E21-F21</f>
        <v>0</v>
      </c>
      <c r="I21" s="8"/>
    </row>
    <row r="22" spans="1:9" ht="25.5">
      <c r="A22" s="100" t="s">
        <v>136</v>
      </c>
      <c r="B22" s="268">
        <f aca="true" t="shared" si="0" ref="B22:G22">SUM(B16:B21)</f>
        <v>471125.33999999997</v>
      </c>
      <c r="C22" s="268">
        <f t="shared" si="0"/>
        <v>351014.72</v>
      </c>
      <c r="D22" s="268">
        <f t="shared" si="0"/>
        <v>120110.62000000002</v>
      </c>
      <c r="E22" s="268">
        <f t="shared" si="0"/>
        <v>89682.45999999999</v>
      </c>
      <c r="F22" s="268">
        <f t="shared" si="0"/>
        <v>494945.99</v>
      </c>
      <c r="G22" s="268">
        <f t="shared" si="0"/>
        <v>-405263.53</v>
      </c>
      <c r="I22" s="8"/>
    </row>
    <row r="23" spans="1:9" ht="25.5">
      <c r="A23" s="103" t="s">
        <v>239</v>
      </c>
      <c r="B23" s="264"/>
      <c r="C23" s="264"/>
      <c r="D23" s="264"/>
      <c r="E23" s="264"/>
      <c r="F23" s="264"/>
      <c r="G23" s="264"/>
      <c r="I23" s="8"/>
    </row>
    <row r="24" spans="1:9" ht="12.75">
      <c r="A24" s="101" t="s">
        <v>137</v>
      </c>
      <c r="B24" s="264">
        <v>6.67</v>
      </c>
      <c r="C24" s="264">
        <f>561.61+267.6+1069.27+18906.6+389.2</f>
        <v>21194.28</v>
      </c>
      <c r="D24" s="264">
        <f>B24-C24</f>
        <v>-21187.61</v>
      </c>
      <c r="E24" s="264">
        <f>45</f>
        <v>45</v>
      </c>
      <c r="F24" s="264">
        <f>5152.57+5+1424.95+694.6+45+65.7</f>
        <v>7387.82</v>
      </c>
      <c r="G24" s="264">
        <f>E24-F24</f>
        <v>-7342.82</v>
      </c>
      <c r="I24" s="8"/>
    </row>
    <row r="25" spans="1:9" ht="12.75">
      <c r="A25" s="101" t="s">
        <v>138</v>
      </c>
      <c r="B25" s="264"/>
      <c r="C25" s="264"/>
      <c r="D25" s="264">
        <f>B25-C25</f>
        <v>0</v>
      </c>
      <c r="E25" s="264"/>
      <c r="F25" s="264"/>
      <c r="G25" s="264">
        <f>E25-F25</f>
        <v>0</v>
      </c>
      <c r="I25" s="8"/>
    </row>
    <row r="26" spans="1:9" ht="12.75">
      <c r="A26" s="101" t="s">
        <v>150</v>
      </c>
      <c r="B26" s="264"/>
      <c r="C26" s="264"/>
      <c r="D26" s="264">
        <f>B26-C26</f>
        <v>0</v>
      </c>
      <c r="E26" s="264"/>
      <c r="F26" s="264"/>
      <c r="G26" s="264">
        <f>E26-F26</f>
        <v>0</v>
      </c>
      <c r="I26" s="8"/>
    </row>
    <row r="27" spans="1:9" ht="12.75">
      <c r="A27" s="101" t="s">
        <v>151</v>
      </c>
      <c r="B27" s="264"/>
      <c r="C27" s="264"/>
      <c r="D27" s="264">
        <f>B27-C27</f>
        <v>0</v>
      </c>
      <c r="E27" s="264"/>
      <c r="F27" s="264"/>
      <c r="G27" s="264">
        <f>E27-F27</f>
        <v>0</v>
      </c>
      <c r="I27" s="8"/>
    </row>
    <row r="28" spans="1:9" ht="12.75">
      <c r="A28" s="101" t="s">
        <v>135</v>
      </c>
      <c r="B28" s="264"/>
      <c r="C28" s="264"/>
      <c r="D28" s="264">
        <f>B28-C28</f>
        <v>0</v>
      </c>
      <c r="E28" s="264"/>
      <c r="F28" s="264"/>
      <c r="G28" s="264">
        <f>E28-F28</f>
        <v>0</v>
      </c>
      <c r="I28" s="8"/>
    </row>
    <row r="29" spans="1:9" ht="12.75">
      <c r="A29" s="101" t="s">
        <v>139</v>
      </c>
      <c r="B29" s="264"/>
      <c r="C29" s="264"/>
      <c r="D29" s="264"/>
      <c r="E29" s="264"/>
      <c r="F29" s="264"/>
      <c r="G29" s="264"/>
      <c r="I29" s="8"/>
    </row>
    <row r="30" spans="1:9" ht="12.75">
      <c r="A30" s="101" t="s">
        <v>140</v>
      </c>
      <c r="B30" s="264"/>
      <c r="C30" s="264"/>
      <c r="D30" s="264">
        <f>B30-C30</f>
        <v>0</v>
      </c>
      <c r="E30" s="264"/>
      <c r="F30" s="264"/>
      <c r="G30" s="264">
        <f>E30-F30</f>
        <v>0</v>
      </c>
      <c r="I30" s="8"/>
    </row>
    <row r="31" spans="1:7" ht="25.5">
      <c r="A31" s="101" t="s">
        <v>141</v>
      </c>
      <c r="B31" s="264"/>
      <c r="C31" s="264"/>
      <c r="D31" s="264">
        <f>B31-C31</f>
        <v>0</v>
      </c>
      <c r="E31" s="264">
        <v>21000</v>
      </c>
      <c r="F31" s="264">
        <v>21000</v>
      </c>
      <c r="G31" s="264">
        <f>E31-F31</f>
        <v>0</v>
      </c>
    </row>
    <row r="32" spans="1:7" ht="25.5">
      <c r="A32" s="100" t="s">
        <v>142</v>
      </c>
      <c r="B32" s="268">
        <f aca="true" t="shared" si="1" ref="B32:G32">SUM(B24:B31)</f>
        <v>6.67</v>
      </c>
      <c r="C32" s="268">
        <f t="shared" si="1"/>
        <v>21194.28</v>
      </c>
      <c r="D32" s="268">
        <f t="shared" si="1"/>
        <v>-21187.61</v>
      </c>
      <c r="E32" s="268">
        <f t="shared" si="1"/>
        <v>21045</v>
      </c>
      <c r="F32" s="268">
        <f t="shared" si="1"/>
        <v>28387.82</v>
      </c>
      <c r="G32" s="268">
        <f t="shared" si="1"/>
        <v>-7342.82</v>
      </c>
    </row>
    <row r="33" spans="1:7" ht="12.75">
      <c r="A33" s="100" t="s">
        <v>143</v>
      </c>
      <c r="B33" s="264"/>
      <c r="C33" s="264"/>
      <c r="D33" s="264"/>
      <c r="E33" s="264"/>
      <c r="F33" s="264"/>
      <c r="G33" s="264"/>
    </row>
    <row r="34" spans="1:7" ht="12.75">
      <c r="A34" s="101" t="s">
        <v>152</v>
      </c>
      <c r="B34" s="264">
        <f>540070+39900</f>
        <v>579970</v>
      </c>
      <c r="C34" s="264">
        <f>580527.53</f>
        <v>580527.53</v>
      </c>
      <c r="D34" s="264">
        <f>B34-C34</f>
        <v>-557.5300000000279</v>
      </c>
      <c r="E34" s="264">
        <f>4317.15+557510</f>
        <v>561827.15</v>
      </c>
      <c r="F34" s="264"/>
      <c r="G34" s="264">
        <f>E34-F34</f>
        <v>561827.15</v>
      </c>
    </row>
    <row r="35" spans="1:7" ht="12.75">
      <c r="A35" s="101" t="s">
        <v>153</v>
      </c>
      <c r="B35" s="267"/>
      <c r="C35" s="267"/>
      <c r="D35" s="267"/>
      <c r="E35" s="267"/>
      <c r="F35" s="267"/>
      <c r="G35" s="267"/>
    </row>
    <row r="36" spans="1:7" ht="12.75">
      <c r="A36" s="101" t="s">
        <v>154</v>
      </c>
      <c r="B36" s="267"/>
      <c r="C36" s="267"/>
      <c r="D36" s="267"/>
      <c r="E36" s="267"/>
      <c r="F36" s="267"/>
      <c r="G36" s="267"/>
    </row>
    <row r="37" spans="1:7" ht="12.75">
      <c r="A37" s="101" t="s">
        <v>134</v>
      </c>
      <c r="B37" s="267"/>
      <c r="C37" s="267"/>
      <c r="D37" s="267"/>
      <c r="E37" s="267"/>
      <c r="F37" s="267"/>
      <c r="G37" s="267"/>
    </row>
    <row r="38" spans="1:7" ht="12.75">
      <c r="A38" s="101" t="s">
        <v>135</v>
      </c>
      <c r="B38" s="267"/>
      <c r="C38" s="267"/>
      <c r="D38" s="267"/>
      <c r="E38" s="267"/>
      <c r="F38" s="267"/>
      <c r="G38" s="267"/>
    </row>
    <row r="39" spans="1:7" ht="12.75">
      <c r="A39" s="101" t="s">
        <v>144</v>
      </c>
      <c r="B39" s="267"/>
      <c r="C39" s="267"/>
      <c r="D39" s="267"/>
      <c r="E39" s="267"/>
      <c r="F39" s="267"/>
      <c r="G39" s="267"/>
    </row>
    <row r="40" spans="1:7" ht="12.75">
      <c r="A40" s="100" t="s">
        <v>145</v>
      </c>
      <c r="B40" s="246">
        <f aca="true" t="shared" si="2" ref="B40:G40">SUM(B34:B39)</f>
        <v>579970</v>
      </c>
      <c r="C40" s="246">
        <f t="shared" si="2"/>
        <v>580527.53</v>
      </c>
      <c r="D40" s="246">
        <f t="shared" si="2"/>
        <v>-557.5300000000279</v>
      </c>
      <c r="E40" s="246">
        <f t="shared" si="2"/>
        <v>561827.15</v>
      </c>
      <c r="F40" s="246">
        <f t="shared" si="2"/>
        <v>0</v>
      </c>
      <c r="G40" s="246">
        <f t="shared" si="2"/>
        <v>561827.15</v>
      </c>
    </row>
    <row r="41" spans="1:7" ht="12.75">
      <c r="A41" s="100" t="s">
        <v>146</v>
      </c>
      <c r="B41" s="246">
        <f aca="true" t="shared" si="3" ref="B41:G41">B22+B32+B40</f>
        <v>1051102.01</v>
      </c>
      <c r="C41" s="246">
        <f t="shared" si="3"/>
        <v>952736.53</v>
      </c>
      <c r="D41" s="246">
        <f t="shared" si="3"/>
        <v>98365.48</v>
      </c>
      <c r="E41" s="246">
        <f t="shared" si="3"/>
        <v>672554.61</v>
      </c>
      <c r="F41" s="246">
        <f t="shared" si="3"/>
        <v>523333.81</v>
      </c>
      <c r="G41" s="246">
        <f t="shared" si="3"/>
        <v>149220.8</v>
      </c>
    </row>
    <row r="42" spans="1:7" ht="12.75">
      <c r="A42" s="100" t="s">
        <v>147</v>
      </c>
      <c r="B42" s="247"/>
      <c r="C42" s="247"/>
      <c r="D42" s="246">
        <v>149221</v>
      </c>
      <c r="E42" s="247"/>
      <c r="F42" s="247"/>
      <c r="G42" s="246">
        <v>0</v>
      </c>
    </row>
    <row r="43" spans="1:7" ht="12.75">
      <c r="A43" s="103" t="s">
        <v>344</v>
      </c>
      <c r="B43" s="247"/>
      <c r="C43" s="247"/>
      <c r="D43" s="246">
        <f>D41+D42</f>
        <v>247586.47999999998</v>
      </c>
      <c r="E43" s="247"/>
      <c r="F43" s="247"/>
      <c r="G43" s="246">
        <f>G41+G42</f>
        <v>149220.8</v>
      </c>
    </row>
    <row r="44" spans="1:7" ht="12.75">
      <c r="A44" s="101" t="s">
        <v>345</v>
      </c>
      <c r="B44" s="74"/>
      <c r="C44" s="74"/>
      <c r="D44" s="211">
        <v>14143</v>
      </c>
      <c r="E44" s="74"/>
      <c r="F44" s="74"/>
      <c r="G44" s="211">
        <v>110531.25</v>
      </c>
    </row>
    <row r="45" spans="1:7" ht="12.75">
      <c r="A45" s="75"/>
      <c r="B45" s="76"/>
      <c r="C45" s="76"/>
      <c r="D45" s="265"/>
      <c r="E45" s="76"/>
      <c r="F45" s="76"/>
      <c r="G45" s="76"/>
    </row>
    <row r="46" spans="1:7" ht="12.75">
      <c r="A46" s="75"/>
      <c r="B46" s="76"/>
      <c r="C46" s="76"/>
      <c r="D46" s="266"/>
      <c r="E46" s="76"/>
      <c r="F46" s="76"/>
      <c r="G46" s="76"/>
    </row>
    <row r="47" spans="1:7" ht="12.75">
      <c r="A47" s="75"/>
      <c r="B47" s="76"/>
      <c r="C47" s="76"/>
      <c r="D47" s="76"/>
      <c r="E47" s="76"/>
      <c r="F47" s="76"/>
      <c r="G47" s="76"/>
    </row>
    <row r="48" spans="1:7" ht="12.75">
      <c r="A48" s="75"/>
      <c r="B48" s="76"/>
      <c r="C48" s="76"/>
      <c r="D48" s="76"/>
      <c r="E48" s="76"/>
      <c r="F48" s="76"/>
      <c r="G48" s="76"/>
    </row>
    <row r="49" spans="1:7" ht="12.75">
      <c r="A49" s="75"/>
      <c r="B49" s="76"/>
      <c r="C49" s="76"/>
      <c r="D49" s="76"/>
      <c r="E49" s="76"/>
      <c r="F49" s="76"/>
      <c r="G49" s="76"/>
    </row>
    <row r="50" spans="1:7" ht="12.75">
      <c r="A50" s="77"/>
      <c r="B50" s="77"/>
      <c r="C50" s="77"/>
      <c r="D50" s="77"/>
      <c r="E50" s="77"/>
      <c r="F50" s="77"/>
      <c r="G50" s="77"/>
    </row>
    <row r="51" spans="1:5" s="8" customFormat="1" ht="12.75">
      <c r="A51" s="231" t="str">
        <f>'справка № 1ДФ-БАЛАНС'!A62</f>
        <v>Дата: 31.01.2008</v>
      </c>
      <c r="B51" s="314" t="s">
        <v>356</v>
      </c>
      <c r="C51" s="314"/>
      <c r="D51" s="323" t="s">
        <v>413</v>
      </c>
      <c r="E51" s="323"/>
    </row>
    <row r="52" spans="3:6" ht="12.75">
      <c r="C52" s="48" t="s">
        <v>394</v>
      </c>
      <c r="D52" s="48"/>
      <c r="E52" s="323" t="s">
        <v>391</v>
      </c>
      <c r="F52" s="323"/>
    </row>
    <row r="53" spans="3:6" ht="12.75">
      <c r="C53" s="48"/>
      <c r="D53" s="48"/>
      <c r="E53" s="81"/>
      <c r="F53" s="81"/>
    </row>
    <row r="54" ht="12.75">
      <c r="D54" s="94" t="s">
        <v>413</v>
      </c>
    </row>
    <row r="55" ht="12.75">
      <c r="E55" s="7" t="s">
        <v>412</v>
      </c>
    </row>
  </sheetData>
  <mergeCells count="9">
    <mergeCell ref="E1:G1"/>
    <mergeCell ref="A12:A13"/>
    <mergeCell ref="A6:F6"/>
    <mergeCell ref="E52:F52"/>
    <mergeCell ref="B12:D12"/>
    <mergeCell ref="E12:G12"/>
    <mergeCell ref="B51:C51"/>
    <mergeCell ref="D51:E51"/>
    <mergeCell ref="D10:G10"/>
  </mergeCells>
  <printOptions/>
  <pageMargins left="0" right="0" top="1.1811023622047245" bottom="0" header="0.35433070866141736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31">
      <selection activeCell="E51" sqref="E51"/>
    </sheetView>
  </sheetViews>
  <sheetFormatPr defaultColWidth="9.140625" defaultRowHeight="12.75"/>
  <cols>
    <col min="1" max="1" width="33.140625" style="119" customWidth="1"/>
    <col min="2" max="2" width="9.7109375" style="119" customWidth="1"/>
    <col min="3" max="3" width="8.28125" style="119" customWidth="1"/>
    <col min="4" max="4" width="10.140625" style="119" customWidth="1"/>
    <col min="5" max="5" width="9.00390625" style="119" customWidth="1"/>
    <col min="6" max="6" width="10.7109375" style="119" customWidth="1"/>
    <col min="7" max="7" width="10.00390625" style="119" customWidth="1"/>
    <col min="8" max="8" width="9.8515625" style="119" customWidth="1"/>
    <col min="9" max="9" width="9.00390625" style="119" customWidth="1"/>
    <col min="10" max="10" width="7.28125" style="119" customWidth="1"/>
    <col min="11" max="11" width="12.00390625" style="119" customWidth="1"/>
    <col min="12" max="16384" width="9.140625" style="7" customWidth="1"/>
  </cols>
  <sheetData>
    <row r="1" spans="8:11" ht="12.75">
      <c r="H1" s="120"/>
      <c r="I1" s="331" t="s">
        <v>364</v>
      </c>
      <c r="J1" s="331"/>
      <c r="K1" s="331"/>
    </row>
    <row r="2" spans="8:11" ht="12.75">
      <c r="H2" s="120"/>
      <c r="I2" s="120"/>
      <c r="J2" s="120"/>
      <c r="K2" s="120"/>
    </row>
    <row r="3" spans="8:11" ht="12.75">
      <c r="H3" s="120"/>
      <c r="I3" s="120"/>
      <c r="J3" s="120"/>
      <c r="K3" s="120"/>
    </row>
    <row r="4" spans="8:11" ht="12.75">
      <c r="H4" s="120"/>
      <c r="I4" s="120"/>
      <c r="J4" s="120"/>
      <c r="K4" s="120"/>
    </row>
    <row r="6" spans="1:11" ht="19.5" customHeight="1">
      <c r="A6" s="332" t="s">
        <v>89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2.75">
      <c r="A7" s="33"/>
      <c r="B7" s="34"/>
      <c r="C7" s="34"/>
      <c r="D7" s="34"/>
      <c r="E7" s="34"/>
      <c r="F7" s="34"/>
      <c r="G7" s="34"/>
      <c r="H7" s="34"/>
      <c r="I7" s="34"/>
      <c r="J7" s="35"/>
      <c r="K7" s="35"/>
    </row>
    <row r="8" spans="1:11" ht="14.25" customHeight="1">
      <c r="A8" s="305" t="str">
        <f>'справка № 1ДФ-БАЛАНС'!A6:B6</f>
        <v>ДФ "КД ОБЛИГАЦИИ БЪЛГАРИЯ"</v>
      </c>
      <c r="B8" s="305"/>
      <c r="C8" s="305"/>
      <c r="D8" s="305"/>
      <c r="E8" s="36"/>
      <c r="F8" s="34"/>
      <c r="G8" s="34"/>
      <c r="H8" s="78"/>
      <c r="I8" s="303" t="s">
        <v>378</v>
      </c>
      <c r="J8" s="303"/>
      <c r="K8" s="304"/>
    </row>
    <row r="9" spans="1:11" ht="13.5" customHeight="1">
      <c r="A9" s="255" t="str">
        <f>'справка № 1ДФ-БАЛАНС'!A7</f>
        <v>Отчетен период: 01.01.2007 - 31.12.2007</v>
      </c>
      <c r="B9" s="37"/>
      <c r="C9" s="37"/>
      <c r="D9" s="37"/>
      <c r="E9" s="38"/>
      <c r="F9" s="38"/>
      <c r="G9" s="38"/>
      <c r="H9" s="38"/>
      <c r="I9" s="38"/>
      <c r="J9" s="34"/>
      <c r="K9" s="261" t="s">
        <v>90</v>
      </c>
    </row>
    <row r="10" spans="1:11" ht="32.25" customHeight="1">
      <c r="A10" s="335" t="s">
        <v>91</v>
      </c>
      <c r="B10" s="335" t="s">
        <v>96</v>
      </c>
      <c r="C10" s="333" t="s">
        <v>92</v>
      </c>
      <c r="D10" s="306"/>
      <c r="E10" s="306"/>
      <c r="F10" s="306"/>
      <c r="G10" s="307"/>
      <c r="H10" s="333" t="s">
        <v>93</v>
      </c>
      <c r="I10" s="334"/>
      <c r="J10" s="335" t="s">
        <v>94</v>
      </c>
      <c r="K10" s="335" t="s">
        <v>95</v>
      </c>
    </row>
    <row r="11" spans="1:11" ht="12.75" customHeight="1">
      <c r="A11" s="336"/>
      <c r="B11" s="301"/>
      <c r="C11" s="339" t="s">
        <v>97</v>
      </c>
      <c r="D11" s="335" t="s">
        <v>98</v>
      </c>
      <c r="E11" s="333" t="s">
        <v>99</v>
      </c>
      <c r="F11" s="338"/>
      <c r="G11" s="334"/>
      <c r="H11" s="335" t="s">
        <v>100</v>
      </c>
      <c r="I11" s="335" t="s">
        <v>101</v>
      </c>
      <c r="J11" s="336"/>
      <c r="K11" s="336"/>
    </row>
    <row r="12" spans="1:11" ht="60" customHeight="1">
      <c r="A12" s="302"/>
      <c r="B12" s="302"/>
      <c r="C12" s="340"/>
      <c r="D12" s="302"/>
      <c r="E12" s="121" t="s">
        <v>56</v>
      </c>
      <c r="F12" s="121" t="s">
        <v>102</v>
      </c>
      <c r="G12" s="121" t="s">
        <v>20</v>
      </c>
      <c r="H12" s="337"/>
      <c r="I12" s="337"/>
      <c r="J12" s="337"/>
      <c r="K12" s="337"/>
    </row>
    <row r="13" spans="1:11" s="81" customFormat="1" ht="12.75">
      <c r="A13" s="122" t="s">
        <v>6</v>
      </c>
      <c r="B13" s="122">
        <v>1</v>
      </c>
      <c r="C13" s="122">
        <v>2</v>
      </c>
      <c r="D13" s="122">
        <v>3</v>
      </c>
      <c r="E13" s="122">
        <v>4</v>
      </c>
      <c r="F13" s="122">
        <v>5</v>
      </c>
      <c r="G13" s="122">
        <v>6</v>
      </c>
      <c r="H13" s="122">
        <v>7</v>
      </c>
      <c r="I13" s="122">
        <v>8</v>
      </c>
      <c r="J13" s="122">
        <v>9</v>
      </c>
      <c r="K13" s="122">
        <v>10</v>
      </c>
    </row>
    <row r="14" spans="1:11" ht="12.75">
      <c r="A14" s="123" t="s">
        <v>103</v>
      </c>
      <c r="B14" s="275">
        <v>563261</v>
      </c>
      <c r="C14" s="275">
        <v>-3092</v>
      </c>
      <c r="D14" s="275"/>
      <c r="E14" s="275"/>
      <c r="F14" s="275"/>
      <c r="G14" s="276"/>
      <c r="H14" s="275">
        <v>31534</v>
      </c>
      <c r="I14" s="275"/>
      <c r="J14" s="276"/>
      <c r="K14" s="277">
        <f>SUM(B14:J14)</f>
        <v>591703</v>
      </c>
    </row>
    <row r="15" spans="1:11" ht="12.75">
      <c r="A15" s="123" t="s">
        <v>104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6"/>
    </row>
    <row r="16" spans="1:11" ht="25.5">
      <c r="A16" s="127" t="s">
        <v>105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ht="12.75">
      <c r="A17" s="127" t="s">
        <v>106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/>
    </row>
    <row r="18" spans="1:11" ht="25.5">
      <c r="A18" s="123" t="s">
        <v>107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1"/>
    </row>
    <row r="19" spans="1:11" ht="25.5">
      <c r="A19" s="123" t="s">
        <v>108</v>
      </c>
      <c r="B19" s="220">
        <f>B20+B21</f>
        <v>55581.04999999999</v>
      </c>
      <c r="C19" s="220">
        <f>C20+C21</f>
        <v>-57318.380000000005</v>
      </c>
      <c r="D19" s="220"/>
      <c r="E19" s="220"/>
      <c r="F19" s="220"/>
      <c r="G19" s="220"/>
      <c r="H19" s="220">
        <f>H20</f>
        <v>184940.13</v>
      </c>
      <c r="I19" s="220">
        <f>I20</f>
        <v>0</v>
      </c>
      <c r="J19" s="220"/>
      <c r="K19" s="221">
        <f>B19+C19+H19-I19</f>
        <v>183202.8</v>
      </c>
    </row>
    <row r="20" spans="1:11" ht="12.75">
      <c r="A20" s="127" t="s">
        <v>109</v>
      </c>
      <c r="B20" s="220">
        <v>521779.19</v>
      </c>
      <c r="C20" s="220">
        <f>58190.81-1179.8</f>
        <v>57011.009999999995</v>
      </c>
      <c r="D20" s="220"/>
      <c r="E20" s="220"/>
      <c r="F20" s="220"/>
      <c r="G20" s="220"/>
      <c r="H20" s="220">
        <v>184940.13</v>
      </c>
      <c r="I20" s="220"/>
      <c r="J20" s="220"/>
      <c r="K20" s="221">
        <f>B20+C20+H20-I20</f>
        <v>763730.33</v>
      </c>
    </row>
    <row r="21" spans="1:11" ht="12.75">
      <c r="A21" s="127" t="s">
        <v>110</v>
      </c>
      <c r="B21" s="220">
        <v>-466198.14</v>
      </c>
      <c r="C21" s="220">
        <v>-114329.39</v>
      </c>
      <c r="D21" s="220"/>
      <c r="E21" s="220"/>
      <c r="F21" s="220"/>
      <c r="G21" s="220"/>
      <c r="H21" s="220"/>
      <c r="I21" s="220"/>
      <c r="J21" s="220"/>
      <c r="K21" s="221">
        <f>B21+C21</f>
        <v>-580527.53</v>
      </c>
    </row>
    <row r="22" spans="1:11" ht="12.75">
      <c r="A22" s="123" t="s">
        <v>111</v>
      </c>
      <c r="B22" s="222"/>
      <c r="C22" s="222"/>
      <c r="D22" s="222"/>
      <c r="E22" s="222"/>
      <c r="F22" s="222"/>
      <c r="G22" s="222"/>
      <c r="H22" s="222"/>
      <c r="I22" s="221"/>
      <c r="J22" s="222"/>
      <c r="K22" s="221">
        <f>B22+C22+H22-I22</f>
        <v>0</v>
      </c>
    </row>
    <row r="23" spans="1:11" ht="12.75">
      <c r="A23" s="127" t="s">
        <v>112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6"/>
    </row>
    <row r="24" spans="1:11" ht="12.75">
      <c r="A24" s="127" t="s">
        <v>113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6"/>
    </row>
    <row r="25" spans="1:11" ht="12.75">
      <c r="A25" s="127" t="s">
        <v>114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6"/>
    </row>
    <row r="26" spans="1:11" ht="12.75">
      <c r="A26" s="127" t="s">
        <v>115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6"/>
    </row>
    <row r="27" spans="1:11" ht="38.25">
      <c r="A27" s="127" t="s">
        <v>116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6"/>
    </row>
    <row r="28" spans="1:11" ht="12.75">
      <c r="A28" s="127" t="s">
        <v>117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6"/>
    </row>
    <row r="29" spans="1:11" ht="12.75">
      <c r="A29" s="127" t="s">
        <v>118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</row>
    <row r="30" spans="1:11" ht="25.5">
      <c r="A30" s="127" t="s">
        <v>119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6"/>
    </row>
    <row r="31" spans="1:11" ht="12.75">
      <c r="A31" s="127" t="s">
        <v>117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1" ht="12.75">
      <c r="A32" s="127" t="s">
        <v>118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ht="12.75">
      <c r="A33" s="127" t="s">
        <v>120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6"/>
    </row>
    <row r="34" spans="1:11" ht="12.75">
      <c r="A34" s="127" t="s">
        <v>121</v>
      </c>
      <c r="B34" s="125"/>
      <c r="C34" s="125"/>
      <c r="D34" s="125"/>
      <c r="E34" s="125"/>
      <c r="F34" s="125"/>
      <c r="G34" s="125"/>
      <c r="H34" s="222"/>
      <c r="I34" s="125"/>
      <c r="J34" s="125"/>
      <c r="K34" s="221">
        <f>B34+C34+H34-I34</f>
        <v>0</v>
      </c>
    </row>
    <row r="35" spans="1:11" ht="12.75">
      <c r="A35" s="123" t="s">
        <v>122</v>
      </c>
      <c r="B35" s="220">
        <f>B20+B14-B21</f>
        <v>1551238.33</v>
      </c>
      <c r="C35" s="220">
        <f>C20+C14+C21</f>
        <v>-60410.380000000005</v>
      </c>
      <c r="D35" s="220">
        <f aca="true" t="shared" si="0" ref="D35:J35">D20+D14</f>
        <v>0</v>
      </c>
      <c r="E35" s="220">
        <f t="shared" si="0"/>
        <v>0</v>
      </c>
      <c r="F35" s="220">
        <f t="shared" si="0"/>
        <v>0</v>
      </c>
      <c r="G35" s="220">
        <f t="shared" si="0"/>
        <v>0</v>
      </c>
      <c r="H35" s="220">
        <f>H20+H14+H21</f>
        <v>216474.13</v>
      </c>
      <c r="I35" s="220">
        <f>I14+I20+I22</f>
        <v>0</v>
      </c>
      <c r="J35" s="220">
        <f t="shared" si="0"/>
        <v>0</v>
      </c>
      <c r="K35" s="220">
        <f>K14+K15+K18+K19+K22</f>
        <v>774905.8</v>
      </c>
    </row>
    <row r="36" spans="1:11" ht="38.25">
      <c r="A36" s="127" t="s">
        <v>123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1"/>
    </row>
    <row r="37" spans="1:11" ht="25.5">
      <c r="A37" s="127" t="s">
        <v>124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1"/>
    </row>
    <row r="38" spans="1:11" ht="25.5">
      <c r="A38" s="128" t="s">
        <v>125</v>
      </c>
      <c r="B38" s="220">
        <f>B35</f>
        <v>1551238.33</v>
      </c>
      <c r="C38" s="220">
        <f aca="true" t="shared" si="1" ref="C38:K38">C35</f>
        <v>-60410.380000000005</v>
      </c>
      <c r="D38" s="220">
        <f t="shared" si="1"/>
        <v>0</v>
      </c>
      <c r="E38" s="220">
        <f t="shared" si="1"/>
        <v>0</v>
      </c>
      <c r="F38" s="220">
        <f t="shared" si="1"/>
        <v>0</v>
      </c>
      <c r="G38" s="220">
        <f t="shared" si="1"/>
        <v>0</v>
      </c>
      <c r="H38" s="220">
        <f t="shared" si="1"/>
        <v>216474.13</v>
      </c>
      <c r="I38" s="220">
        <f t="shared" si="1"/>
        <v>0</v>
      </c>
      <c r="J38" s="220">
        <f t="shared" si="1"/>
        <v>0</v>
      </c>
      <c r="K38" s="220">
        <f t="shared" si="1"/>
        <v>774905.8</v>
      </c>
    </row>
    <row r="39" spans="1:12" ht="12.7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194"/>
    </row>
    <row r="40" spans="1:12" ht="12.7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194"/>
    </row>
    <row r="41" spans="1:12" ht="12.7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194"/>
    </row>
    <row r="42" spans="1:12" ht="12.7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94"/>
    </row>
    <row r="43" spans="1:11" ht="12.7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1"/>
    </row>
    <row r="44" spans="1:8" s="8" customFormat="1" ht="12.75">
      <c r="A44" s="231" t="str">
        <f>'справка № 1ДФ-БАЛАНС'!A62</f>
        <v>Дата: 31.01.2008</v>
      </c>
      <c r="B44" s="314" t="s">
        <v>356</v>
      </c>
      <c r="C44" s="314"/>
      <c r="G44" s="323" t="s">
        <v>413</v>
      </c>
      <c r="H44" s="323"/>
    </row>
    <row r="45" spans="1:11" ht="12.75">
      <c r="A45" s="7"/>
      <c r="B45" s="7"/>
      <c r="C45" s="323" t="s">
        <v>394</v>
      </c>
      <c r="D45" s="323"/>
      <c r="E45" s="323"/>
      <c r="F45" s="7"/>
      <c r="G45" s="7"/>
      <c r="H45" s="313" t="s">
        <v>391</v>
      </c>
      <c r="I45" s="313"/>
      <c r="J45" s="313"/>
      <c r="K45" s="7"/>
    </row>
    <row r="46" spans="1:11" ht="12.75">
      <c r="A46" s="7"/>
      <c r="B46" s="7"/>
      <c r="C46" s="81"/>
      <c r="D46" s="81"/>
      <c r="E46" s="81"/>
      <c r="F46" s="7"/>
      <c r="G46" s="7"/>
      <c r="H46" s="62"/>
      <c r="I46" s="62"/>
      <c r="J46" s="62"/>
      <c r="K46" s="7"/>
    </row>
    <row r="47" spans="1:11" ht="12.75">
      <c r="A47" s="7"/>
      <c r="B47" s="7"/>
      <c r="C47" s="7"/>
      <c r="D47" s="7"/>
      <c r="E47" s="7"/>
      <c r="F47" s="7"/>
      <c r="G47" s="7" t="s">
        <v>413</v>
      </c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 t="s">
        <v>412</v>
      </c>
      <c r="J48" s="7"/>
      <c r="K48" s="7"/>
    </row>
  </sheetData>
  <mergeCells count="19">
    <mergeCell ref="I8:K8"/>
    <mergeCell ref="D11:D12"/>
    <mergeCell ref="A8:D8"/>
    <mergeCell ref="H45:J45"/>
    <mergeCell ref="B44:C44"/>
    <mergeCell ref="G44:H44"/>
    <mergeCell ref="C10:G10"/>
    <mergeCell ref="A10:A12"/>
    <mergeCell ref="C45:E45"/>
    <mergeCell ref="I1:K1"/>
    <mergeCell ref="A6:K6"/>
    <mergeCell ref="H10:I10"/>
    <mergeCell ref="J10:J12"/>
    <mergeCell ref="K10:K12"/>
    <mergeCell ref="E11:G11"/>
    <mergeCell ref="H11:H12"/>
    <mergeCell ref="C11:C12"/>
    <mergeCell ref="I11:I12"/>
    <mergeCell ref="B10:B1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3:J34 B36:J37 B16:J17 J22 B24:J26 G14 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8:J29 B31:J32">
      <formula1>0</formula1>
      <formula2>9999999999999990</formula2>
    </dataValidation>
  </dataValidations>
  <printOptions/>
  <pageMargins left="0.4921259842519685" right="0" top="1.3779527559055118" bottom="0" header="0.5118110236220472" footer="0.5118110236220472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6"/>
  <sheetViews>
    <sheetView workbookViewId="0" topLeftCell="A25">
      <selection activeCell="F41" sqref="F41"/>
    </sheetView>
  </sheetViews>
  <sheetFormatPr defaultColWidth="9.140625" defaultRowHeight="12.75"/>
  <cols>
    <col min="1" max="1" width="16.8515625" style="134" customWidth="1"/>
    <col min="2" max="3" width="8.00390625" style="134" customWidth="1"/>
    <col min="4" max="4" width="8.8515625" style="134" customWidth="1"/>
    <col min="5" max="5" width="8.140625" style="134" customWidth="1"/>
    <col min="6" max="6" width="7.7109375" style="134" customWidth="1"/>
    <col min="7" max="7" width="7.28125" style="134" customWidth="1"/>
    <col min="8" max="8" width="8.57421875" style="134" customWidth="1"/>
    <col min="9" max="9" width="7.28125" style="134" customWidth="1"/>
    <col min="10" max="10" width="7.00390625" style="134" customWidth="1"/>
    <col min="11" max="11" width="6.8515625" style="134" customWidth="1"/>
    <col min="12" max="12" width="7.28125" style="134" customWidth="1"/>
    <col min="13" max="13" width="7.7109375" style="134" customWidth="1"/>
    <col min="14" max="14" width="6.8515625" style="134" customWidth="1"/>
    <col min="15" max="15" width="8.7109375" style="134" customWidth="1"/>
    <col min="16" max="16" width="9.8515625" style="134" customWidth="1"/>
    <col min="17" max="16384" width="9.140625" style="134" customWidth="1"/>
  </cols>
  <sheetData>
    <row r="1" spans="13:16" ht="12.75">
      <c r="M1" s="308" t="s">
        <v>365</v>
      </c>
      <c r="N1" s="308"/>
      <c r="O1" s="308"/>
      <c r="P1" s="308"/>
    </row>
    <row r="3" spans="1:16" ht="15">
      <c r="A3" s="79"/>
      <c r="B3" s="135"/>
      <c r="C3" s="135"/>
      <c r="D3" s="135"/>
      <c r="E3" s="135"/>
      <c r="F3" s="135"/>
      <c r="G3" s="181" t="s">
        <v>350</v>
      </c>
      <c r="H3" s="118"/>
      <c r="I3" s="135"/>
      <c r="J3" s="135"/>
      <c r="K3" s="135"/>
      <c r="L3" s="135"/>
      <c r="M3" s="135"/>
      <c r="N3" s="135"/>
      <c r="O3" s="135"/>
      <c r="P3" s="135"/>
    </row>
    <row r="4" spans="1:16" ht="14.25">
      <c r="A4" s="64"/>
      <c r="B4" s="64"/>
      <c r="C4" s="64"/>
      <c r="D4" s="64"/>
      <c r="E4" s="64"/>
      <c r="F4" s="288" t="s">
        <v>351</v>
      </c>
      <c r="G4" s="288"/>
      <c r="H4" s="288"/>
      <c r="I4" s="64"/>
      <c r="J4" s="64"/>
      <c r="K4" s="63"/>
      <c r="L4" s="63"/>
      <c r="M4" s="63"/>
      <c r="N4" s="63"/>
      <c r="O4" s="63"/>
      <c r="P4" s="63"/>
    </row>
    <row r="5" spans="1:16" ht="14.25">
      <c r="A5" s="64"/>
      <c r="B5" s="64"/>
      <c r="C5" s="64"/>
      <c r="D5" s="64"/>
      <c r="E5" s="64"/>
      <c r="F5" s="233"/>
      <c r="G5" s="233"/>
      <c r="H5" s="233"/>
      <c r="I5" s="64"/>
      <c r="J5" s="64"/>
      <c r="K5" s="63"/>
      <c r="L5" s="63"/>
      <c r="M5" s="63"/>
      <c r="N5" s="63"/>
      <c r="O5" s="63"/>
      <c r="P5" s="63"/>
    </row>
    <row r="6" spans="1:16" ht="14.25">
      <c r="A6" s="64"/>
      <c r="B6" s="64"/>
      <c r="C6" s="64"/>
      <c r="D6" s="64"/>
      <c r="E6" s="64"/>
      <c r="F6" s="233"/>
      <c r="G6" s="233"/>
      <c r="H6" s="233"/>
      <c r="I6" s="64"/>
      <c r="J6" s="64"/>
      <c r="K6" s="63"/>
      <c r="L6" s="63"/>
      <c r="M6" s="63"/>
      <c r="N6" s="63"/>
      <c r="O6" s="63"/>
      <c r="P6" s="63"/>
    </row>
    <row r="7" spans="1:16" ht="12">
      <c r="A7" s="64"/>
      <c r="B7" s="64"/>
      <c r="C7" s="64"/>
      <c r="D7" s="64"/>
      <c r="E7" s="64"/>
      <c r="F7" s="64"/>
      <c r="G7" s="64"/>
      <c r="H7" s="64"/>
      <c r="I7" s="64"/>
      <c r="J7" s="64"/>
      <c r="K7" s="63"/>
      <c r="L7" s="63"/>
      <c r="M7" s="63"/>
      <c r="N7" s="63"/>
      <c r="O7" s="63"/>
      <c r="P7" s="63"/>
    </row>
    <row r="8" spans="1:16" ht="16.5" customHeight="1">
      <c r="A8" s="305" t="str">
        <f>'справка № 1ДФ-БАЛАНС'!A6:B6</f>
        <v>ДФ "КД ОБЛИГАЦИИ БЪЛГАРИЯ"</v>
      </c>
      <c r="B8" s="312"/>
      <c r="C8" s="312"/>
      <c r="D8" s="312"/>
      <c r="E8" s="312"/>
      <c r="F8" s="66"/>
      <c r="G8" s="66"/>
      <c r="H8" s="66"/>
      <c r="I8" s="66"/>
      <c r="J8" s="66"/>
      <c r="K8" s="114"/>
      <c r="L8" s="321" t="s">
        <v>362</v>
      </c>
      <c r="M8" s="313"/>
      <c r="N8" s="313"/>
      <c r="O8" s="313"/>
      <c r="P8" s="313"/>
    </row>
    <row r="9" spans="1:16" ht="14.25" customHeight="1">
      <c r="A9" s="309" t="str">
        <f>'справка № 1ДФ-БАЛАНС'!A7</f>
        <v>Отчетен период: 01.01.2007 - 31.12.2007</v>
      </c>
      <c r="B9" s="309"/>
      <c r="C9" s="309"/>
      <c r="D9" s="309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262" t="s">
        <v>126</v>
      </c>
    </row>
    <row r="10" spans="1:16" s="136" customFormat="1" ht="39" customHeight="1">
      <c r="A10" s="310" t="s">
        <v>91</v>
      </c>
      <c r="B10" s="147" t="s">
        <v>215</v>
      </c>
      <c r="C10" s="147"/>
      <c r="D10" s="147"/>
      <c r="E10" s="147"/>
      <c r="F10" s="147" t="s">
        <v>216</v>
      </c>
      <c r="G10" s="147"/>
      <c r="H10" s="310" t="s">
        <v>248</v>
      </c>
      <c r="I10" s="147" t="s">
        <v>249</v>
      </c>
      <c r="J10" s="147"/>
      <c r="K10" s="147"/>
      <c r="L10" s="147"/>
      <c r="M10" s="147" t="s">
        <v>216</v>
      </c>
      <c r="N10" s="147"/>
      <c r="O10" s="310" t="s">
        <v>217</v>
      </c>
      <c r="P10" s="310" t="s">
        <v>218</v>
      </c>
    </row>
    <row r="11" spans="1:16" s="136" customFormat="1" ht="63.75">
      <c r="A11" s="311"/>
      <c r="B11" s="148" t="s">
        <v>219</v>
      </c>
      <c r="C11" s="148" t="s">
        <v>220</v>
      </c>
      <c r="D11" s="148" t="s">
        <v>221</v>
      </c>
      <c r="E11" s="148" t="s">
        <v>222</v>
      </c>
      <c r="F11" s="148" t="s">
        <v>109</v>
      </c>
      <c r="G11" s="148" t="s">
        <v>110</v>
      </c>
      <c r="H11" s="311"/>
      <c r="I11" s="148" t="s">
        <v>219</v>
      </c>
      <c r="J11" s="148" t="s">
        <v>223</v>
      </c>
      <c r="K11" s="148" t="s">
        <v>224</v>
      </c>
      <c r="L11" s="148" t="s">
        <v>225</v>
      </c>
      <c r="M11" s="148" t="s">
        <v>109</v>
      </c>
      <c r="N11" s="148" t="s">
        <v>110</v>
      </c>
      <c r="O11" s="311"/>
      <c r="P11" s="311"/>
    </row>
    <row r="12" spans="1:16" s="136" customFormat="1" ht="12.75">
      <c r="A12" s="149" t="s">
        <v>6</v>
      </c>
      <c r="B12" s="148">
        <v>1</v>
      </c>
      <c r="C12" s="148">
        <v>2</v>
      </c>
      <c r="D12" s="148">
        <v>3</v>
      </c>
      <c r="E12" s="148">
        <v>4</v>
      </c>
      <c r="F12" s="148">
        <v>5</v>
      </c>
      <c r="G12" s="148">
        <v>6</v>
      </c>
      <c r="H12" s="148">
        <v>7</v>
      </c>
      <c r="I12" s="148">
        <v>8</v>
      </c>
      <c r="J12" s="148">
        <v>9</v>
      </c>
      <c r="K12" s="148">
        <v>10</v>
      </c>
      <c r="L12" s="148">
        <v>11</v>
      </c>
      <c r="M12" s="148">
        <v>12</v>
      </c>
      <c r="N12" s="148">
        <v>13</v>
      </c>
      <c r="O12" s="148">
        <v>14</v>
      </c>
      <c r="P12" s="148">
        <v>15</v>
      </c>
    </row>
    <row r="13" spans="1:49" ht="34.5" customHeight="1">
      <c r="A13" s="150" t="s">
        <v>240</v>
      </c>
      <c r="B13" s="151"/>
      <c r="C13" s="151"/>
      <c r="D13" s="151"/>
      <c r="E13" s="152"/>
      <c r="F13" s="153"/>
      <c r="G13" s="153"/>
      <c r="H13" s="152"/>
      <c r="I13" s="153"/>
      <c r="J13" s="153"/>
      <c r="K13" s="153"/>
      <c r="L13" s="152"/>
      <c r="M13" s="153"/>
      <c r="N13" s="153"/>
      <c r="O13" s="152"/>
      <c r="P13" s="152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</row>
    <row r="14" spans="1:49" ht="29.25" customHeight="1">
      <c r="A14" s="154" t="s">
        <v>47</v>
      </c>
      <c r="B14" s="155"/>
      <c r="C14" s="155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</row>
    <row r="15" spans="1:49" ht="38.25">
      <c r="A15" s="157" t="s">
        <v>250</v>
      </c>
      <c r="B15" s="158"/>
      <c r="C15" s="158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</row>
    <row r="16" spans="1:49" ht="25.5">
      <c r="A16" s="157" t="s">
        <v>226</v>
      </c>
      <c r="B16" s="160"/>
      <c r="C16" s="160"/>
      <c r="D16" s="160"/>
      <c r="E16" s="152"/>
      <c r="F16" s="161"/>
      <c r="G16" s="161"/>
      <c r="H16" s="152"/>
      <c r="I16" s="161"/>
      <c r="J16" s="161"/>
      <c r="K16" s="161"/>
      <c r="L16" s="159"/>
      <c r="M16" s="161"/>
      <c r="N16" s="161"/>
      <c r="O16" s="159"/>
      <c r="P16" s="152">
        <f>H16-O16</f>
        <v>0</v>
      </c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</row>
    <row r="17" spans="1:49" ht="41.25" customHeight="1">
      <c r="A17" s="162" t="s">
        <v>246</v>
      </c>
      <c r="B17" s="160"/>
      <c r="C17" s="160"/>
      <c r="D17" s="160"/>
      <c r="E17" s="152">
        <f>C17-D17</f>
        <v>0</v>
      </c>
      <c r="F17" s="161"/>
      <c r="G17" s="161"/>
      <c r="H17" s="152"/>
      <c r="I17" s="161"/>
      <c r="J17" s="161"/>
      <c r="K17" s="161"/>
      <c r="L17" s="159"/>
      <c r="M17" s="161"/>
      <c r="N17" s="161"/>
      <c r="O17" s="159"/>
      <c r="P17" s="152">
        <f>H17-O17</f>
        <v>0</v>
      </c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</row>
    <row r="18" spans="1:49" ht="21" customHeight="1">
      <c r="A18" s="157" t="s">
        <v>247</v>
      </c>
      <c r="B18" s="160"/>
      <c r="C18" s="160"/>
      <c r="D18" s="160"/>
      <c r="E18" s="159"/>
      <c r="F18" s="161"/>
      <c r="G18" s="161"/>
      <c r="H18" s="159"/>
      <c r="I18" s="161"/>
      <c r="J18" s="161"/>
      <c r="K18" s="161"/>
      <c r="L18" s="159"/>
      <c r="M18" s="161"/>
      <c r="N18" s="161"/>
      <c r="O18" s="159"/>
      <c r="P18" s="159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</row>
    <row r="19" spans="1:49" ht="16.5" customHeight="1">
      <c r="A19" s="154" t="s">
        <v>22</v>
      </c>
      <c r="B19" s="160"/>
      <c r="C19" s="160"/>
      <c r="D19" s="160"/>
      <c r="E19" s="159"/>
      <c r="F19" s="161"/>
      <c r="G19" s="161"/>
      <c r="H19" s="159">
        <f>E19</f>
        <v>0</v>
      </c>
      <c r="I19" s="161"/>
      <c r="J19" s="161"/>
      <c r="K19" s="161"/>
      <c r="L19" s="159"/>
      <c r="M19" s="161"/>
      <c r="N19" s="161"/>
      <c r="O19" s="159"/>
      <c r="P19" s="159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</row>
    <row r="20" spans="1:49" ht="12.75">
      <c r="A20" s="163" t="s">
        <v>211</v>
      </c>
      <c r="B20" s="269"/>
      <c r="C20" s="168">
        <f aca="true" t="shared" si="0" ref="C20:H20">SUM(C16:C19)</f>
        <v>0</v>
      </c>
      <c r="D20" s="168">
        <f t="shared" si="0"/>
        <v>0</v>
      </c>
      <c r="E20" s="270">
        <f t="shared" si="0"/>
        <v>0</v>
      </c>
      <c r="F20" s="270">
        <f t="shared" si="0"/>
        <v>0</v>
      </c>
      <c r="G20" s="270">
        <f t="shared" si="0"/>
        <v>0</v>
      </c>
      <c r="H20" s="270">
        <f t="shared" si="0"/>
        <v>0</v>
      </c>
      <c r="I20" s="271"/>
      <c r="J20" s="271"/>
      <c r="K20" s="271"/>
      <c r="L20" s="159"/>
      <c r="M20" s="271"/>
      <c r="N20" s="271"/>
      <c r="O20" s="159"/>
      <c r="P20" s="270">
        <f>SUM(P16:P19)</f>
        <v>0</v>
      </c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</row>
    <row r="21" spans="1:49" s="141" customFormat="1" ht="46.5" customHeight="1">
      <c r="A21" s="164" t="s">
        <v>241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</row>
    <row r="22" spans="1:49" s="141" customFormat="1" ht="12.75">
      <c r="A22" s="166" t="s">
        <v>242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</row>
    <row r="23" spans="1:49" s="141" customFormat="1" ht="29.25" customHeight="1">
      <c r="A23" s="166" t="s">
        <v>243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</row>
    <row r="24" spans="1:49" s="141" customFormat="1" ht="30.75" customHeight="1">
      <c r="A24" s="166" t="s">
        <v>244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</row>
    <row r="25" spans="1:49" s="141" customFormat="1" ht="12.75">
      <c r="A25" s="166" t="s">
        <v>35</v>
      </c>
      <c r="B25" s="161"/>
      <c r="C25" s="161"/>
      <c r="D25" s="161"/>
      <c r="E25" s="165"/>
      <c r="F25" s="161"/>
      <c r="G25" s="161"/>
      <c r="H25" s="165"/>
      <c r="I25" s="161"/>
      <c r="J25" s="161"/>
      <c r="K25" s="161"/>
      <c r="L25" s="165"/>
      <c r="M25" s="161"/>
      <c r="N25" s="161"/>
      <c r="O25" s="165"/>
      <c r="P25" s="165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</row>
    <row r="26" spans="1:49" s="141" customFormat="1" ht="12.75">
      <c r="A26" s="163" t="s">
        <v>227</v>
      </c>
      <c r="B26" s="161"/>
      <c r="C26" s="161"/>
      <c r="D26" s="161"/>
      <c r="E26" s="165"/>
      <c r="F26" s="161"/>
      <c r="G26" s="161"/>
      <c r="H26" s="165"/>
      <c r="I26" s="161"/>
      <c r="J26" s="161"/>
      <c r="K26" s="161"/>
      <c r="L26" s="165"/>
      <c r="M26" s="161"/>
      <c r="N26" s="161"/>
      <c r="O26" s="165"/>
      <c r="P26" s="165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</row>
    <row r="27" spans="1:49" s="141" customFormat="1" ht="31.5" customHeight="1">
      <c r="A27" s="164" t="s">
        <v>245</v>
      </c>
      <c r="B27" s="161"/>
      <c r="C27" s="161">
        <v>0</v>
      </c>
      <c r="D27" s="161"/>
      <c r="E27" s="153">
        <f>B27</f>
        <v>0</v>
      </c>
      <c r="F27" s="161"/>
      <c r="G27" s="161"/>
      <c r="H27" s="165">
        <f>H28</f>
        <v>0</v>
      </c>
      <c r="I27" s="161"/>
      <c r="J27" s="161"/>
      <c r="K27" s="161"/>
      <c r="L27" s="153">
        <f>I27+J27</f>
        <v>0</v>
      </c>
      <c r="M27" s="161"/>
      <c r="N27" s="161"/>
      <c r="O27" s="153">
        <f>L27</f>
        <v>0</v>
      </c>
      <c r="P27" s="153">
        <f>H27-O27</f>
        <v>0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</row>
    <row r="28" spans="1:49" s="141" customFormat="1" ht="12.75">
      <c r="A28" s="166"/>
      <c r="B28" s="272"/>
      <c r="C28" s="272">
        <v>0</v>
      </c>
      <c r="D28" s="272"/>
      <c r="E28" s="273"/>
      <c r="F28" s="272"/>
      <c r="G28" s="272"/>
      <c r="H28" s="272"/>
      <c r="I28" s="272"/>
      <c r="J28" s="272">
        <f>J27</f>
        <v>0</v>
      </c>
      <c r="K28" s="272"/>
      <c r="L28" s="274">
        <f>SUM(I28:K28)</f>
        <v>0</v>
      </c>
      <c r="M28" s="272"/>
      <c r="N28" s="272"/>
      <c r="O28" s="274">
        <f>SUM(O27)</f>
        <v>0</v>
      </c>
      <c r="P28" s="274">
        <f>SUM(P27)</f>
        <v>0</v>
      </c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</row>
    <row r="29" spans="1:49" ht="12.75">
      <c r="A29" s="167" t="s">
        <v>228</v>
      </c>
      <c r="B29" s="168">
        <f>B27+B19</f>
        <v>0</v>
      </c>
      <c r="C29" s="168">
        <f>C16+C17</f>
        <v>0</v>
      </c>
      <c r="D29" s="168">
        <f aca="true" t="shared" si="1" ref="D29:O29">D27+D21+D20</f>
        <v>0</v>
      </c>
      <c r="E29" s="168">
        <f>E20</f>
        <v>0</v>
      </c>
      <c r="F29" s="168">
        <f t="shared" si="1"/>
        <v>0</v>
      </c>
      <c r="G29" s="168">
        <f t="shared" si="1"/>
        <v>0</v>
      </c>
      <c r="H29" s="168">
        <f>H20+H28</f>
        <v>0</v>
      </c>
      <c r="I29" s="168">
        <f t="shared" si="1"/>
        <v>0</v>
      </c>
      <c r="J29" s="168">
        <f t="shared" si="1"/>
        <v>0</v>
      </c>
      <c r="K29" s="168">
        <f t="shared" si="1"/>
        <v>0</v>
      </c>
      <c r="L29" s="168">
        <f t="shared" si="1"/>
        <v>0</v>
      </c>
      <c r="M29" s="168">
        <f t="shared" si="1"/>
        <v>0</v>
      </c>
      <c r="N29" s="168">
        <f t="shared" si="1"/>
        <v>0</v>
      </c>
      <c r="O29" s="168">
        <f t="shared" si="1"/>
        <v>0</v>
      </c>
      <c r="P29" s="168">
        <f>P20+P28</f>
        <v>0</v>
      </c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</row>
    <row r="30" spans="1:49" ht="12.75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</row>
    <row r="31" spans="1:49" ht="12.75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</row>
    <row r="32" spans="1:49" ht="12.75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</row>
    <row r="33" spans="1:49" ht="12.75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</row>
    <row r="34" spans="1:49" ht="12.75">
      <c r="A34" s="195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</row>
    <row r="35" spans="1:49" ht="12">
      <c r="A35" s="65"/>
      <c r="B35" s="69"/>
      <c r="C35" s="69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</row>
    <row r="36" spans="1:14" s="8" customFormat="1" ht="12.75">
      <c r="A36" s="231" t="str">
        <f>'справка № 1ДФ-БАЛАНС'!A62</f>
        <v>Дата: 31.01.2008</v>
      </c>
      <c r="B36" s="314"/>
      <c r="C36" s="314"/>
      <c r="G36" s="314" t="s">
        <v>356</v>
      </c>
      <c r="H36" s="314"/>
      <c r="I36" s="314"/>
      <c r="J36" s="314"/>
      <c r="M36" s="323" t="s">
        <v>413</v>
      </c>
      <c r="N36" s="323"/>
    </row>
    <row r="37" spans="3:16" s="7" customFormat="1" ht="12.75">
      <c r="C37" s="48"/>
      <c r="D37" s="48"/>
      <c r="H37" s="48" t="s">
        <v>394</v>
      </c>
      <c r="J37" s="48"/>
      <c r="N37" s="313" t="s">
        <v>391</v>
      </c>
      <c r="O37" s="313"/>
      <c r="P37" s="313"/>
    </row>
    <row r="38" spans="3:16" s="7" customFormat="1" ht="12.75">
      <c r="C38" s="48"/>
      <c r="D38" s="48"/>
      <c r="H38" s="48"/>
      <c r="J38" s="48"/>
      <c r="N38" s="62"/>
      <c r="O38" s="62"/>
      <c r="P38" s="62"/>
    </row>
    <row r="39" spans="3:16" s="7" customFormat="1" ht="12.75">
      <c r="C39" s="48"/>
      <c r="D39" s="48"/>
      <c r="H39" s="48"/>
      <c r="J39" s="48"/>
      <c r="N39" s="62"/>
      <c r="O39" s="62"/>
      <c r="P39" s="62"/>
    </row>
    <row r="40" spans="1:49" ht="12.75">
      <c r="A40" s="144"/>
      <c r="B40" s="142"/>
      <c r="C40" s="142"/>
      <c r="D40" s="142"/>
      <c r="E40" s="143"/>
      <c r="F40" s="143"/>
      <c r="G40" s="143"/>
      <c r="H40" s="143"/>
      <c r="I40" s="143"/>
      <c r="J40" s="143"/>
      <c r="K40" s="143"/>
      <c r="L40" s="143"/>
      <c r="M40" s="323" t="s">
        <v>413</v>
      </c>
      <c r="N40" s="323"/>
      <c r="O40" s="143"/>
      <c r="P40" s="143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</row>
    <row r="41" spans="1:49" ht="12">
      <c r="A41" s="65"/>
      <c r="B41" s="142"/>
      <c r="C41" s="142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 t="s">
        <v>412</v>
      </c>
      <c r="P41" s="143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</row>
    <row r="42" spans="1:49" ht="12">
      <c r="A42" s="63"/>
      <c r="B42" s="142"/>
      <c r="C42" s="142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</row>
    <row r="43" spans="1:49" ht="12">
      <c r="A43" s="63"/>
      <c r="B43" s="142"/>
      <c r="C43" s="142"/>
      <c r="D43" s="142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</row>
    <row r="44" spans="1:49" ht="12">
      <c r="A44" s="63"/>
      <c r="B44" s="142"/>
      <c r="C44" s="142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</row>
    <row r="45" spans="2:49" ht="12">
      <c r="B45" s="145"/>
      <c r="C45" s="145"/>
      <c r="D45" s="145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</row>
    <row r="46" spans="2:49" ht="12">
      <c r="B46" s="145"/>
      <c r="C46" s="145"/>
      <c r="D46" s="145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</row>
    <row r="47" spans="2:49" ht="12">
      <c r="B47" s="145"/>
      <c r="C47" s="145"/>
      <c r="D47" s="145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</row>
    <row r="48" spans="2:49" ht="12">
      <c r="B48" s="145"/>
      <c r="C48" s="145"/>
      <c r="D48" s="145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</row>
    <row r="49" spans="2:49" ht="12">
      <c r="B49" s="145"/>
      <c r="C49" s="145"/>
      <c r="D49" s="145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</row>
    <row r="50" spans="2:49" ht="12">
      <c r="B50" s="145"/>
      <c r="C50" s="145"/>
      <c r="D50" s="145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</row>
    <row r="51" spans="2:49" ht="12">
      <c r="B51" s="145"/>
      <c r="C51" s="145"/>
      <c r="D51" s="145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</row>
    <row r="52" spans="2:49" ht="12">
      <c r="B52" s="145"/>
      <c r="C52" s="145"/>
      <c r="D52" s="145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</row>
    <row r="53" spans="2:49" ht="12">
      <c r="B53" s="145"/>
      <c r="C53" s="145"/>
      <c r="D53" s="145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</row>
    <row r="54" spans="2:49" ht="12">
      <c r="B54" s="145"/>
      <c r="C54" s="145"/>
      <c r="D54" s="145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</row>
    <row r="55" spans="2:49" ht="12">
      <c r="B55" s="145"/>
      <c r="C55" s="145"/>
      <c r="D55" s="145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</row>
    <row r="56" spans="2:49" ht="12">
      <c r="B56" s="145"/>
      <c r="C56" s="145"/>
      <c r="D56" s="145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</row>
    <row r="57" spans="2:49" ht="12">
      <c r="B57" s="145"/>
      <c r="C57" s="145"/>
      <c r="D57" s="145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</row>
    <row r="58" spans="2:49" ht="12">
      <c r="B58" s="145"/>
      <c r="C58" s="145"/>
      <c r="D58" s="145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</row>
    <row r="59" spans="2:49" ht="12">
      <c r="B59" s="145"/>
      <c r="C59" s="145"/>
      <c r="D59" s="145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</row>
    <row r="60" spans="2:49" ht="12">
      <c r="B60" s="145"/>
      <c r="C60" s="145"/>
      <c r="D60" s="145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</row>
    <row r="61" spans="2:49" ht="12">
      <c r="B61" s="145"/>
      <c r="C61" s="145"/>
      <c r="D61" s="145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</row>
    <row r="62" spans="2:49" ht="12">
      <c r="B62" s="137"/>
      <c r="C62" s="145"/>
      <c r="D62" s="145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</row>
    <row r="63" spans="2:49" ht="12">
      <c r="B63" s="137"/>
      <c r="C63" s="145"/>
      <c r="D63" s="145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</row>
    <row r="64" spans="2:49" ht="12">
      <c r="B64" s="137"/>
      <c r="C64" s="145"/>
      <c r="D64" s="145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</row>
    <row r="65" spans="2:49" ht="12">
      <c r="B65" s="137"/>
      <c r="C65" s="145"/>
      <c r="D65" s="145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</row>
    <row r="66" spans="3:4" ht="12">
      <c r="C66" s="146"/>
      <c r="D66" s="146"/>
    </row>
    <row r="67" spans="3:4" ht="12">
      <c r="C67" s="146"/>
      <c r="D67" s="146"/>
    </row>
    <row r="68" spans="3:4" ht="12">
      <c r="C68" s="146"/>
      <c r="D68" s="146"/>
    </row>
    <row r="69" spans="3:4" ht="12">
      <c r="C69" s="146"/>
      <c r="D69" s="146"/>
    </row>
    <row r="70" spans="3:4" ht="12">
      <c r="C70" s="146"/>
      <c r="D70" s="146"/>
    </row>
    <row r="71" spans="3:4" ht="12">
      <c r="C71" s="146"/>
      <c r="D71" s="146"/>
    </row>
    <row r="72" spans="3:4" ht="12">
      <c r="C72" s="146"/>
      <c r="D72" s="146"/>
    </row>
    <row r="73" spans="3:4" ht="12">
      <c r="C73" s="146"/>
      <c r="D73" s="146"/>
    </row>
    <row r="74" spans="3:4" ht="12">
      <c r="C74" s="146"/>
      <c r="D74" s="146"/>
    </row>
    <row r="75" spans="3:4" ht="12">
      <c r="C75" s="146"/>
      <c r="D75" s="146"/>
    </row>
    <row r="76" spans="3:4" ht="12">
      <c r="C76" s="146"/>
      <c r="D76" s="146"/>
    </row>
    <row r="77" spans="3:4" ht="12">
      <c r="C77" s="146"/>
      <c r="D77" s="146"/>
    </row>
    <row r="78" spans="3:4" ht="12">
      <c r="C78" s="146"/>
      <c r="D78" s="146"/>
    </row>
    <row r="79" spans="3:4" ht="12">
      <c r="C79" s="146"/>
      <c r="D79" s="146"/>
    </row>
    <row r="80" spans="3:4" ht="12">
      <c r="C80" s="146"/>
      <c r="D80" s="146"/>
    </row>
    <row r="81" spans="3:4" ht="12">
      <c r="C81" s="146"/>
      <c r="D81" s="146"/>
    </row>
    <row r="82" spans="3:4" ht="12">
      <c r="C82" s="146"/>
      <c r="D82" s="146"/>
    </row>
    <row r="83" spans="3:4" ht="12">
      <c r="C83" s="146"/>
      <c r="D83" s="146"/>
    </row>
    <row r="84" spans="3:4" ht="12">
      <c r="C84" s="146"/>
      <c r="D84" s="146"/>
    </row>
    <row r="85" spans="3:4" ht="12">
      <c r="C85" s="146"/>
      <c r="D85" s="146"/>
    </row>
    <row r="86" spans="3:4" ht="12">
      <c r="C86" s="146"/>
      <c r="D86" s="146"/>
    </row>
    <row r="87" spans="3:4" ht="12">
      <c r="C87" s="146"/>
      <c r="D87" s="146"/>
    </row>
    <row r="88" spans="3:4" ht="12">
      <c r="C88" s="146"/>
      <c r="D88" s="146"/>
    </row>
    <row r="89" spans="3:4" ht="12">
      <c r="C89" s="146"/>
      <c r="D89" s="146"/>
    </row>
    <row r="90" spans="3:4" ht="12">
      <c r="C90" s="146"/>
      <c r="D90" s="146"/>
    </row>
    <row r="91" spans="3:4" ht="12">
      <c r="C91" s="146"/>
      <c r="D91" s="146"/>
    </row>
    <row r="92" spans="3:4" ht="12">
      <c r="C92" s="146"/>
      <c r="D92" s="146"/>
    </row>
    <row r="93" spans="3:4" ht="12">
      <c r="C93" s="146"/>
      <c r="D93" s="146"/>
    </row>
    <row r="94" spans="3:4" ht="12">
      <c r="C94" s="146"/>
      <c r="D94" s="146"/>
    </row>
    <row r="95" spans="3:4" ht="12">
      <c r="C95" s="146"/>
      <c r="D95" s="146"/>
    </row>
    <row r="96" spans="3:4" ht="12">
      <c r="C96" s="146"/>
      <c r="D96" s="146"/>
    </row>
    <row r="97" spans="3:4" ht="12">
      <c r="C97" s="146"/>
      <c r="D97" s="146"/>
    </row>
    <row r="98" spans="3:4" ht="12">
      <c r="C98" s="146"/>
      <c r="D98" s="146"/>
    </row>
    <row r="99" spans="3:4" ht="12">
      <c r="C99" s="146"/>
      <c r="D99" s="146"/>
    </row>
    <row r="100" spans="3:4" ht="12">
      <c r="C100" s="146"/>
      <c r="D100" s="146"/>
    </row>
    <row r="101" spans="3:4" ht="12">
      <c r="C101" s="146"/>
      <c r="D101" s="146"/>
    </row>
    <row r="102" spans="3:4" ht="12">
      <c r="C102" s="146"/>
      <c r="D102" s="146"/>
    </row>
    <row r="103" spans="3:4" ht="12">
      <c r="C103" s="146"/>
      <c r="D103" s="146"/>
    </row>
    <row r="104" spans="3:4" ht="12">
      <c r="C104" s="146"/>
      <c r="D104" s="146"/>
    </row>
    <row r="105" spans="3:4" ht="12">
      <c r="C105" s="146"/>
      <c r="D105" s="146"/>
    </row>
    <row r="106" spans="3:4" ht="12">
      <c r="C106" s="146"/>
      <c r="D106" s="146"/>
    </row>
    <row r="107" spans="3:4" ht="12">
      <c r="C107" s="146"/>
      <c r="D107" s="146"/>
    </row>
    <row r="108" spans="3:4" ht="12">
      <c r="C108" s="146"/>
      <c r="D108" s="146"/>
    </row>
    <row r="109" spans="3:4" ht="12">
      <c r="C109" s="146"/>
      <c r="D109" s="146"/>
    </row>
    <row r="110" spans="3:4" ht="12">
      <c r="C110" s="146"/>
      <c r="D110" s="146"/>
    </row>
    <row r="111" spans="3:4" ht="12">
      <c r="C111" s="146"/>
      <c r="D111" s="146"/>
    </row>
    <row r="112" spans="3:4" ht="12">
      <c r="C112" s="146"/>
      <c r="D112" s="146"/>
    </row>
    <row r="113" spans="3:4" ht="12">
      <c r="C113" s="146"/>
      <c r="D113" s="146"/>
    </row>
    <row r="114" spans="3:4" ht="12">
      <c r="C114" s="146"/>
      <c r="D114" s="146"/>
    </row>
    <row r="115" spans="3:4" ht="12">
      <c r="C115" s="146"/>
      <c r="D115" s="146"/>
    </row>
    <row r="116" spans="3:4" ht="12">
      <c r="C116" s="146"/>
      <c r="D116" s="146"/>
    </row>
    <row r="117" spans="3:4" ht="12">
      <c r="C117" s="146"/>
      <c r="D117" s="146"/>
    </row>
    <row r="118" spans="3:4" ht="12">
      <c r="C118" s="146"/>
      <c r="D118" s="146"/>
    </row>
    <row r="119" spans="3:4" ht="12">
      <c r="C119" s="146"/>
      <c r="D119" s="146"/>
    </row>
    <row r="120" spans="3:4" ht="12">
      <c r="C120" s="146"/>
      <c r="D120" s="146"/>
    </row>
    <row r="121" spans="3:4" ht="12">
      <c r="C121" s="146"/>
      <c r="D121" s="146"/>
    </row>
    <row r="122" spans="3:4" ht="12">
      <c r="C122" s="146"/>
      <c r="D122" s="146"/>
    </row>
    <row r="123" spans="3:4" ht="12">
      <c r="C123" s="146"/>
      <c r="D123" s="146"/>
    </row>
    <row r="124" spans="3:4" ht="12">
      <c r="C124" s="146"/>
      <c r="D124" s="146"/>
    </row>
    <row r="125" spans="3:4" ht="12">
      <c r="C125" s="146"/>
      <c r="D125" s="146"/>
    </row>
    <row r="126" spans="3:4" ht="12">
      <c r="C126" s="146"/>
      <c r="D126" s="146"/>
    </row>
    <row r="127" spans="3:4" ht="12">
      <c r="C127" s="146"/>
      <c r="D127" s="146"/>
    </row>
    <row r="128" spans="3:4" ht="12">
      <c r="C128" s="146"/>
      <c r="D128" s="146"/>
    </row>
    <row r="129" spans="3:4" ht="12">
      <c r="C129" s="146"/>
      <c r="D129" s="146"/>
    </row>
    <row r="130" spans="3:4" ht="12">
      <c r="C130" s="146"/>
      <c r="D130" s="146"/>
    </row>
    <row r="131" spans="3:4" ht="12">
      <c r="C131" s="146"/>
      <c r="D131" s="146"/>
    </row>
    <row r="132" spans="3:4" ht="12">
      <c r="C132" s="146"/>
      <c r="D132" s="146"/>
    </row>
    <row r="133" spans="3:4" ht="12">
      <c r="C133" s="146"/>
      <c r="D133" s="146"/>
    </row>
    <row r="134" spans="3:4" ht="12">
      <c r="C134" s="146"/>
      <c r="D134" s="146"/>
    </row>
    <row r="135" spans="3:4" ht="12">
      <c r="C135" s="146"/>
      <c r="D135" s="146"/>
    </row>
    <row r="136" spans="3:4" ht="12">
      <c r="C136" s="146"/>
      <c r="D136" s="146"/>
    </row>
    <row r="137" spans="3:4" ht="12">
      <c r="C137" s="146"/>
      <c r="D137" s="146"/>
    </row>
    <row r="138" spans="3:4" ht="12">
      <c r="C138" s="146"/>
      <c r="D138" s="146"/>
    </row>
    <row r="139" spans="3:4" ht="12">
      <c r="C139" s="146"/>
      <c r="D139" s="146"/>
    </row>
    <row r="140" spans="3:4" ht="12">
      <c r="C140" s="146"/>
      <c r="D140" s="146"/>
    </row>
    <row r="141" spans="3:4" ht="12">
      <c r="C141" s="146"/>
      <c r="D141" s="146"/>
    </row>
    <row r="142" spans="3:4" ht="12">
      <c r="C142" s="146"/>
      <c r="D142" s="146"/>
    </row>
    <row r="143" spans="3:4" ht="12">
      <c r="C143" s="146"/>
      <c r="D143" s="146"/>
    </row>
    <row r="144" spans="3:4" ht="12">
      <c r="C144" s="146"/>
      <c r="D144" s="146"/>
    </row>
    <row r="145" spans="3:4" ht="12">
      <c r="C145" s="146"/>
      <c r="D145" s="146"/>
    </row>
    <row r="146" spans="3:4" ht="12">
      <c r="C146" s="146"/>
      <c r="D146" s="146"/>
    </row>
    <row r="147" spans="3:4" ht="12">
      <c r="C147" s="146"/>
      <c r="D147" s="146"/>
    </row>
    <row r="148" spans="3:4" ht="12">
      <c r="C148" s="146"/>
      <c r="D148" s="146"/>
    </row>
    <row r="149" spans="3:4" ht="12">
      <c r="C149" s="146"/>
      <c r="D149" s="146"/>
    </row>
    <row r="150" spans="3:4" ht="12">
      <c r="C150" s="146"/>
      <c r="D150" s="146"/>
    </row>
    <row r="151" spans="3:4" ht="12">
      <c r="C151" s="146"/>
      <c r="D151" s="146"/>
    </row>
    <row r="152" spans="3:4" ht="12">
      <c r="C152" s="146"/>
      <c r="D152" s="146"/>
    </row>
    <row r="153" spans="3:4" ht="12">
      <c r="C153" s="146"/>
      <c r="D153" s="146"/>
    </row>
    <row r="154" spans="3:4" ht="12">
      <c r="C154" s="146"/>
      <c r="D154" s="146"/>
    </row>
    <row r="155" spans="3:4" ht="12">
      <c r="C155" s="146"/>
      <c r="D155" s="146"/>
    </row>
    <row r="156" spans="3:4" ht="12">
      <c r="C156" s="146"/>
      <c r="D156" s="146"/>
    </row>
    <row r="157" spans="3:4" ht="12">
      <c r="C157" s="146"/>
      <c r="D157" s="146"/>
    </row>
    <row r="158" spans="3:4" ht="12">
      <c r="C158" s="146"/>
      <c r="D158" s="146"/>
    </row>
    <row r="159" spans="3:4" ht="12">
      <c r="C159" s="146"/>
      <c r="D159" s="146"/>
    </row>
    <row r="160" spans="3:4" ht="12">
      <c r="C160" s="146"/>
      <c r="D160" s="146"/>
    </row>
    <row r="161" spans="3:4" ht="12">
      <c r="C161" s="146"/>
      <c r="D161" s="146"/>
    </row>
    <row r="162" spans="3:4" ht="12">
      <c r="C162" s="146"/>
      <c r="D162" s="146"/>
    </row>
    <row r="163" spans="3:4" ht="12">
      <c r="C163" s="146"/>
      <c r="D163" s="146"/>
    </row>
    <row r="164" spans="3:4" ht="12">
      <c r="C164" s="146"/>
      <c r="D164" s="146"/>
    </row>
    <row r="165" spans="3:4" ht="12">
      <c r="C165" s="146"/>
      <c r="D165" s="146"/>
    </row>
    <row r="166" spans="3:4" ht="12">
      <c r="C166" s="146"/>
      <c r="D166" s="146"/>
    </row>
    <row r="167" spans="3:4" ht="12">
      <c r="C167" s="146"/>
      <c r="D167" s="146"/>
    </row>
    <row r="168" spans="3:4" ht="12">
      <c r="C168" s="146"/>
      <c r="D168" s="146"/>
    </row>
    <row r="169" spans="3:4" ht="12">
      <c r="C169" s="146"/>
      <c r="D169" s="146"/>
    </row>
    <row r="170" spans="3:4" ht="12">
      <c r="C170" s="146"/>
      <c r="D170" s="146"/>
    </row>
    <row r="171" spans="3:4" ht="12">
      <c r="C171" s="146"/>
      <c r="D171" s="146"/>
    </row>
    <row r="172" spans="3:4" ht="12">
      <c r="C172" s="146"/>
      <c r="D172" s="146"/>
    </row>
    <row r="173" spans="3:4" ht="12">
      <c r="C173" s="146"/>
      <c r="D173" s="146"/>
    </row>
    <row r="174" spans="3:4" ht="12">
      <c r="C174" s="146"/>
      <c r="D174" s="146"/>
    </row>
    <row r="175" spans="3:4" ht="12">
      <c r="C175" s="146"/>
      <c r="D175" s="146"/>
    </row>
    <row r="176" spans="3:4" ht="12">
      <c r="C176" s="146"/>
      <c r="D176" s="146"/>
    </row>
    <row r="177" spans="3:4" ht="12">
      <c r="C177" s="146"/>
      <c r="D177" s="146"/>
    </row>
    <row r="178" spans="3:4" ht="12">
      <c r="C178" s="146"/>
      <c r="D178" s="146"/>
    </row>
    <row r="179" spans="3:4" ht="12">
      <c r="C179" s="146"/>
      <c r="D179" s="146"/>
    </row>
    <row r="180" spans="3:4" ht="12">
      <c r="C180" s="146"/>
      <c r="D180" s="146"/>
    </row>
    <row r="181" spans="3:4" ht="12">
      <c r="C181" s="146"/>
      <c r="D181" s="146"/>
    </row>
    <row r="182" spans="3:4" ht="12">
      <c r="C182" s="146"/>
      <c r="D182" s="146"/>
    </row>
    <row r="183" spans="3:4" ht="12">
      <c r="C183" s="146"/>
      <c r="D183" s="146"/>
    </row>
    <row r="184" spans="3:4" ht="12">
      <c r="C184" s="146"/>
      <c r="D184" s="146"/>
    </row>
    <row r="185" spans="3:4" ht="12">
      <c r="C185" s="146"/>
      <c r="D185" s="146"/>
    </row>
    <row r="186" spans="3:4" ht="12">
      <c r="C186" s="146"/>
      <c r="D186" s="146"/>
    </row>
    <row r="187" spans="3:4" ht="12">
      <c r="C187" s="146"/>
      <c r="D187" s="146"/>
    </row>
    <row r="188" spans="3:4" ht="12">
      <c r="C188" s="146"/>
      <c r="D188" s="146"/>
    </row>
    <row r="189" spans="3:4" ht="12">
      <c r="C189" s="146"/>
      <c r="D189" s="146"/>
    </row>
    <row r="190" spans="3:4" ht="12">
      <c r="C190" s="146"/>
      <c r="D190" s="146"/>
    </row>
    <row r="191" spans="3:4" ht="12">
      <c r="C191" s="146"/>
      <c r="D191" s="146"/>
    </row>
    <row r="192" spans="3:4" ht="12">
      <c r="C192" s="146"/>
      <c r="D192" s="146"/>
    </row>
    <row r="193" spans="3:4" ht="12">
      <c r="C193" s="146"/>
      <c r="D193" s="146"/>
    </row>
    <row r="194" spans="3:4" ht="12">
      <c r="C194" s="146"/>
      <c r="D194" s="146"/>
    </row>
    <row r="195" spans="3:4" ht="12">
      <c r="C195" s="146"/>
      <c r="D195" s="146"/>
    </row>
    <row r="196" spans="3:4" ht="12">
      <c r="C196" s="146"/>
      <c r="D196" s="146"/>
    </row>
    <row r="197" spans="3:4" ht="12">
      <c r="C197" s="146"/>
      <c r="D197" s="146"/>
    </row>
    <row r="198" spans="3:4" ht="12">
      <c r="C198" s="146"/>
      <c r="D198" s="146"/>
    </row>
    <row r="199" spans="3:4" ht="12">
      <c r="C199" s="146"/>
      <c r="D199" s="146"/>
    </row>
    <row r="200" spans="3:4" ht="12">
      <c r="C200" s="146"/>
      <c r="D200" s="146"/>
    </row>
    <row r="201" spans="3:4" ht="12">
      <c r="C201" s="146"/>
      <c r="D201" s="146"/>
    </row>
    <row r="202" spans="3:4" ht="12">
      <c r="C202" s="146"/>
      <c r="D202" s="146"/>
    </row>
    <row r="203" spans="3:4" ht="12">
      <c r="C203" s="146"/>
      <c r="D203" s="146"/>
    </row>
    <row r="204" spans="3:4" ht="12">
      <c r="C204" s="146"/>
      <c r="D204" s="146"/>
    </row>
    <row r="205" spans="3:4" ht="12">
      <c r="C205" s="146"/>
      <c r="D205" s="146"/>
    </row>
    <row r="206" spans="3:4" ht="12">
      <c r="C206" s="146"/>
      <c r="D206" s="146"/>
    </row>
    <row r="207" spans="3:4" ht="12">
      <c r="C207" s="146"/>
      <c r="D207" s="146"/>
    </row>
    <row r="208" spans="3:4" ht="12">
      <c r="C208" s="146"/>
      <c r="D208" s="146"/>
    </row>
    <row r="209" spans="3:4" ht="12">
      <c r="C209" s="146"/>
      <c r="D209" s="146"/>
    </row>
    <row r="210" spans="3:4" ht="12">
      <c r="C210" s="146"/>
      <c r="D210" s="146"/>
    </row>
    <row r="211" spans="3:4" ht="12">
      <c r="C211" s="146"/>
      <c r="D211" s="146"/>
    </row>
    <row r="212" spans="3:4" ht="12">
      <c r="C212" s="146"/>
      <c r="D212" s="146"/>
    </row>
    <row r="213" spans="3:4" ht="12">
      <c r="C213" s="146"/>
      <c r="D213" s="146"/>
    </row>
    <row r="214" spans="3:4" ht="12">
      <c r="C214" s="146"/>
      <c r="D214" s="146"/>
    </row>
    <row r="215" spans="3:4" ht="12">
      <c r="C215" s="146"/>
      <c r="D215" s="146"/>
    </row>
    <row r="216" spans="3:4" ht="12">
      <c r="C216" s="146"/>
      <c r="D216" s="146"/>
    </row>
    <row r="217" spans="3:4" ht="12">
      <c r="C217" s="146"/>
      <c r="D217" s="146"/>
    </row>
    <row r="218" spans="3:4" ht="12">
      <c r="C218" s="146"/>
      <c r="D218" s="146"/>
    </row>
    <row r="219" spans="3:4" ht="12">
      <c r="C219" s="146"/>
      <c r="D219" s="146"/>
    </row>
    <row r="220" spans="3:4" ht="12">
      <c r="C220" s="146"/>
      <c r="D220" s="146"/>
    </row>
    <row r="221" spans="3:4" ht="12">
      <c r="C221" s="146"/>
      <c r="D221" s="146"/>
    </row>
    <row r="222" spans="3:4" ht="12">
      <c r="C222" s="146"/>
      <c r="D222" s="146"/>
    </row>
    <row r="223" spans="3:4" ht="12">
      <c r="C223" s="146"/>
      <c r="D223" s="146"/>
    </row>
    <row r="224" spans="3:4" ht="12">
      <c r="C224" s="146"/>
      <c r="D224" s="146"/>
    </row>
    <row r="225" spans="3:4" ht="12">
      <c r="C225" s="146"/>
      <c r="D225" s="146"/>
    </row>
    <row r="226" spans="3:4" ht="12">
      <c r="C226" s="146"/>
      <c r="D226" s="146"/>
    </row>
  </sheetData>
  <mergeCells count="15">
    <mergeCell ref="O10:O11"/>
    <mergeCell ref="N37:P37"/>
    <mergeCell ref="I36:J36"/>
    <mergeCell ref="B36:C36"/>
    <mergeCell ref="G36:H36"/>
    <mergeCell ref="M40:N40"/>
    <mergeCell ref="M1:P1"/>
    <mergeCell ref="A9:D9"/>
    <mergeCell ref="M36:N36"/>
    <mergeCell ref="P10:P11"/>
    <mergeCell ref="A10:A11"/>
    <mergeCell ref="A8:E8"/>
    <mergeCell ref="H10:H11"/>
    <mergeCell ref="L8:P8"/>
    <mergeCell ref="F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D19 F16:G19 I16:K19 M16:N19 B25:D28 F25:G28 I25:K28 M25:N28 H28">
      <formula1>0</formula1>
      <formula2>9999999999999990</formula2>
    </dataValidation>
  </dataValidations>
  <printOptions/>
  <pageMargins left="0.3937007874015748" right="0" top="1.3779527559055118" bottom="0" header="0.15748031496062992" footer="0.1968503937007874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58">
      <selection activeCell="C79" sqref="C79"/>
    </sheetView>
  </sheetViews>
  <sheetFormatPr defaultColWidth="9.140625" defaultRowHeight="12.75"/>
  <cols>
    <col min="1" max="1" width="25.00390625" style="7" customWidth="1"/>
    <col min="2" max="2" width="11.28125" style="7" customWidth="1"/>
    <col min="3" max="3" width="9.57421875" style="7" customWidth="1"/>
    <col min="4" max="4" width="10.57421875" style="7" customWidth="1"/>
    <col min="5" max="5" width="10.140625" style="7" customWidth="1"/>
    <col min="6" max="16384" width="9.140625" style="7" customWidth="1"/>
  </cols>
  <sheetData>
    <row r="1" spans="1:6" s="88" customFormat="1" ht="21" customHeight="1">
      <c r="A1" s="87"/>
      <c r="B1" s="87"/>
      <c r="C1" s="87"/>
      <c r="D1" s="87"/>
      <c r="E1" s="290" t="s">
        <v>366</v>
      </c>
      <c r="F1" s="290"/>
    </row>
    <row r="3" spans="1:6" ht="15" customHeight="1">
      <c r="A3" s="292" t="s">
        <v>183</v>
      </c>
      <c r="B3" s="292"/>
      <c r="C3" s="292"/>
      <c r="D3" s="292"/>
      <c r="E3" s="292"/>
      <c r="F3" s="292"/>
    </row>
    <row r="4" spans="1:6" ht="14.25" customHeight="1">
      <c r="A4" s="292" t="s">
        <v>184</v>
      </c>
      <c r="B4" s="292"/>
      <c r="C4" s="292"/>
      <c r="D4" s="292"/>
      <c r="E4" s="292"/>
      <c r="F4" s="292"/>
    </row>
    <row r="5" spans="1:5" ht="14.25">
      <c r="A5" s="248"/>
      <c r="B5" s="248"/>
      <c r="C5" s="248"/>
      <c r="D5" s="248"/>
      <c r="E5" s="48"/>
    </row>
    <row r="6" spans="1:5" ht="12.75">
      <c r="A6" s="48"/>
      <c r="B6" s="291"/>
      <c r="C6" s="312"/>
      <c r="D6" s="312"/>
      <c r="E6" s="48"/>
    </row>
    <row r="7" spans="1:7" ht="12.75">
      <c r="A7" s="49" t="str">
        <f>'справка № 1ДФ-БАЛАНС'!A6:B6</f>
        <v>ДФ "КД ОБЛИГАЦИИ БЪЛГАРИЯ"</v>
      </c>
      <c r="B7" s="49"/>
      <c r="C7" s="49"/>
      <c r="D7" s="289" t="s">
        <v>362</v>
      </c>
      <c r="E7" s="289"/>
      <c r="F7" s="289"/>
      <c r="G7" s="234"/>
    </row>
    <row r="8" ht="12.75">
      <c r="A8" s="256" t="str">
        <f>'справка № 1ДФ-БАЛАНС'!A7</f>
        <v>Отчетен период: 01.01.2007 - 31.12.2007</v>
      </c>
    </row>
    <row r="9" ht="12.75">
      <c r="A9" s="256"/>
    </row>
    <row r="10" spans="1:6" ht="13.5" customHeight="1">
      <c r="A10" s="53" t="s">
        <v>157</v>
      </c>
      <c r="B10" s="51"/>
      <c r="F10" s="208" t="s">
        <v>126</v>
      </c>
    </row>
    <row r="11" spans="1:6" ht="13.5" customHeight="1">
      <c r="A11" s="326" t="s">
        <v>158</v>
      </c>
      <c r="B11" s="326" t="s">
        <v>159</v>
      </c>
      <c r="C11" s="295" t="s">
        <v>160</v>
      </c>
      <c r="D11" s="296"/>
      <c r="E11" s="296"/>
      <c r="F11" s="296"/>
    </row>
    <row r="12" spans="1:6" ht="25.5">
      <c r="A12" s="326"/>
      <c r="B12" s="326"/>
      <c r="C12" s="11" t="s">
        <v>161</v>
      </c>
      <c r="D12" s="11" t="s">
        <v>162</v>
      </c>
      <c r="E12" s="104" t="s">
        <v>163</v>
      </c>
      <c r="F12" s="104" t="s">
        <v>164</v>
      </c>
    </row>
    <row r="13" spans="1:6" s="83" customFormat="1" ht="12.75">
      <c r="A13" s="130" t="s">
        <v>6</v>
      </c>
      <c r="B13" s="104">
        <v>1</v>
      </c>
      <c r="C13" s="104">
        <v>2</v>
      </c>
      <c r="D13" s="104">
        <v>3</v>
      </c>
      <c r="E13" s="130">
        <v>4</v>
      </c>
      <c r="F13" s="130">
        <v>5</v>
      </c>
    </row>
    <row r="14" spans="1:6" ht="12.75">
      <c r="A14" s="105" t="s">
        <v>252</v>
      </c>
      <c r="B14" s="86" t="s">
        <v>156</v>
      </c>
      <c r="C14" s="86" t="s">
        <v>156</v>
      </c>
      <c r="D14" s="86" t="s">
        <v>156</v>
      </c>
      <c r="E14" s="9"/>
      <c r="F14" s="9"/>
    </row>
    <row r="15" spans="1:6" ht="25.5">
      <c r="A15" s="86" t="s">
        <v>253</v>
      </c>
      <c r="B15" s="110" t="s">
        <v>156</v>
      </c>
      <c r="C15" s="110" t="s">
        <v>156</v>
      </c>
      <c r="D15" s="110" t="s">
        <v>156</v>
      </c>
      <c r="E15" s="197"/>
      <c r="F15" s="197"/>
    </row>
    <row r="16" spans="1:6" ht="25.5">
      <c r="A16" s="86" t="s">
        <v>254</v>
      </c>
      <c r="B16" s="215"/>
      <c r="C16" s="110"/>
      <c r="D16" s="110"/>
      <c r="E16" s="110"/>
      <c r="F16" s="110"/>
    </row>
    <row r="17" spans="1:6" ht="25.5">
      <c r="A17" s="112" t="s">
        <v>255</v>
      </c>
      <c r="B17" s="110" t="s">
        <v>156</v>
      </c>
      <c r="C17" s="110" t="s">
        <v>156</v>
      </c>
      <c r="D17" s="110" t="s">
        <v>156</v>
      </c>
      <c r="E17" s="197"/>
      <c r="F17" s="197"/>
    </row>
    <row r="18" spans="1:6" ht="12.75">
      <c r="A18" s="86" t="s">
        <v>256</v>
      </c>
      <c r="B18" s="110" t="s">
        <v>156</v>
      </c>
      <c r="C18" s="110" t="s">
        <v>156</v>
      </c>
      <c r="D18" s="110" t="s">
        <v>156</v>
      </c>
      <c r="E18" s="197"/>
      <c r="F18" s="197"/>
    </row>
    <row r="19" spans="1:6" ht="12.75">
      <c r="A19" s="86" t="s">
        <v>257</v>
      </c>
      <c r="B19" s="110" t="s">
        <v>156</v>
      </c>
      <c r="C19" s="110" t="s">
        <v>156</v>
      </c>
      <c r="D19" s="110" t="s">
        <v>156</v>
      </c>
      <c r="E19" s="197"/>
      <c r="F19" s="197"/>
    </row>
    <row r="20" spans="1:6" ht="25.5">
      <c r="A20" s="86" t="s">
        <v>258</v>
      </c>
      <c r="B20" s="110">
        <v>100</v>
      </c>
      <c r="C20" s="110">
        <v>100</v>
      </c>
      <c r="D20" s="110"/>
      <c r="E20" s="197"/>
      <c r="F20" s="197"/>
    </row>
    <row r="21" spans="1:6" ht="12.75">
      <c r="A21" s="86" t="s">
        <v>259</v>
      </c>
      <c r="B21" s="204">
        <f>C21+D21</f>
        <v>1559.38</v>
      </c>
      <c r="C21" s="204">
        <v>88.38</v>
      </c>
      <c r="D21" s="204">
        <f>1443.56+27.44</f>
        <v>1471</v>
      </c>
      <c r="E21" s="242"/>
      <c r="F21" s="197"/>
    </row>
    <row r="22" spans="1:6" ht="25.5">
      <c r="A22" s="86" t="s">
        <v>278</v>
      </c>
      <c r="B22" s="204" t="s">
        <v>156</v>
      </c>
      <c r="C22" s="204" t="s">
        <v>156</v>
      </c>
      <c r="D22" s="204" t="s">
        <v>156</v>
      </c>
      <c r="E22" s="242"/>
      <c r="F22" s="197"/>
    </row>
    <row r="23" spans="1:6" ht="12.75">
      <c r="A23" s="86" t="s">
        <v>177</v>
      </c>
      <c r="B23" s="204" t="s">
        <v>156</v>
      </c>
      <c r="C23" s="204" t="s">
        <v>156</v>
      </c>
      <c r="D23" s="204" t="s">
        <v>156</v>
      </c>
      <c r="E23" s="242"/>
      <c r="F23" s="197"/>
    </row>
    <row r="24" spans="1:6" ht="12.75">
      <c r="A24" s="86" t="s">
        <v>260</v>
      </c>
      <c r="B24" s="204" t="s">
        <v>156</v>
      </c>
      <c r="C24" s="204" t="s">
        <v>156</v>
      </c>
      <c r="D24" s="204" t="s">
        <v>156</v>
      </c>
      <c r="E24" s="242"/>
      <c r="F24" s="197"/>
    </row>
    <row r="25" spans="1:6" ht="25.5">
      <c r="A25" s="86" t="s">
        <v>261</v>
      </c>
      <c r="B25" s="204">
        <v>4800</v>
      </c>
      <c r="C25" s="204"/>
      <c r="D25" s="204" t="s">
        <v>156</v>
      </c>
      <c r="E25" s="242"/>
      <c r="F25" s="197"/>
    </row>
    <row r="26" spans="1:6" ht="12.75">
      <c r="A26" s="112" t="s">
        <v>179</v>
      </c>
      <c r="B26" s="204" t="s">
        <v>156</v>
      </c>
      <c r="C26" s="204" t="s">
        <v>156</v>
      </c>
      <c r="D26" s="204" t="s">
        <v>156</v>
      </c>
      <c r="E26" s="242"/>
      <c r="F26" s="197"/>
    </row>
    <row r="27" spans="1:6" ht="25.5">
      <c r="A27" s="112" t="s">
        <v>178</v>
      </c>
      <c r="B27" s="204" t="s">
        <v>156</v>
      </c>
      <c r="C27" s="204" t="s">
        <v>156</v>
      </c>
      <c r="D27" s="204" t="s">
        <v>156</v>
      </c>
      <c r="E27" s="242"/>
      <c r="F27" s="197"/>
    </row>
    <row r="28" spans="1:6" ht="12.75">
      <c r="A28" s="112" t="s">
        <v>180</v>
      </c>
      <c r="B28" s="204" t="s">
        <v>156</v>
      </c>
      <c r="C28" s="204" t="s">
        <v>156</v>
      </c>
      <c r="D28" s="204" t="s">
        <v>156</v>
      </c>
      <c r="E28" s="242"/>
      <c r="F28" s="197"/>
    </row>
    <row r="29" spans="1:6" ht="12.75">
      <c r="A29" s="112" t="s">
        <v>20</v>
      </c>
      <c r="B29" s="204">
        <v>4800</v>
      </c>
      <c r="C29" s="204">
        <v>4800</v>
      </c>
      <c r="D29" s="204" t="s">
        <v>156</v>
      </c>
      <c r="E29" s="242"/>
      <c r="F29" s="197"/>
    </row>
    <row r="30" spans="1:6" ht="12.75">
      <c r="A30" s="105" t="s">
        <v>165</v>
      </c>
      <c r="B30" s="243">
        <f>B25+B16+B20+B21</f>
        <v>6459.38</v>
      </c>
      <c r="C30" s="243">
        <f>C25+C16+C20+C21+C29</f>
        <v>4988.38</v>
      </c>
      <c r="D30" s="243">
        <f>SUM(D15:D28)</f>
        <v>1471</v>
      </c>
      <c r="E30" s="243">
        <f>E25+E16+E20+E21</f>
        <v>0</v>
      </c>
      <c r="F30" s="197"/>
    </row>
    <row r="31" spans="1:6" ht="12.75">
      <c r="A31" s="131"/>
      <c r="B31" s="50"/>
      <c r="C31" s="50"/>
      <c r="D31" s="50"/>
      <c r="E31" s="51"/>
      <c r="F31" s="51"/>
    </row>
    <row r="32" spans="1:7" ht="12.75">
      <c r="A32" s="53" t="s">
        <v>276</v>
      </c>
      <c r="G32" s="82" t="s">
        <v>251</v>
      </c>
    </row>
    <row r="33" spans="1:7" ht="18.75" customHeight="1">
      <c r="A33" s="326" t="s">
        <v>158</v>
      </c>
      <c r="B33" s="326" t="s">
        <v>166</v>
      </c>
      <c r="C33" s="326" t="s">
        <v>167</v>
      </c>
      <c r="D33" s="326"/>
      <c r="E33" s="326"/>
      <c r="F33" s="326"/>
      <c r="G33" s="326" t="s">
        <v>168</v>
      </c>
    </row>
    <row r="34" spans="1:7" ht="9.75" customHeight="1">
      <c r="A34" s="326"/>
      <c r="B34" s="326"/>
      <c r="C34" s="326"/>
      <c r="D34" s="326"/>
      <c r="E34" s="326"/>
      <c r="F34" s="326"/>
      <c r="G34" s="326"/>
    </row>
    <row r="35" spans="1:7" ht="27" customHeight="1">
      <c r="A35" s="326"/>
      <c r="B35" s="326"/>
      <c r="C35" s="96" t="s">
        <v>161</v>
      </c>
      <c r="D35" s="96" t="s">
        <v>169</v>
      </c>
      <c r="E35" s="96" t="s">
        <v>170</v>
      </c>
      <c r="F35" s="96" t="s">
        <v>171</v>
      </c>
      <c r="G35" s="326"/>
    </row>
    <row r="36" spans="1:7" s="58" customFormat="1" ht="12.75">
      <c r="A36" s="104" t="s">
        <v>6</v>
      </c>
      <c r="B36" s="104">
        <v>1</v>
      </c>
      <c r="C36" s="132">
        <v>2</v>
      </c>
      <c r="D36" s="132">
        <v>3</v>
      </c>
      <c r="E36" s="104">
        <v>4</v>
      </c>
      <c r="F36" s="104">
        <v>5</v>
      </c>
      <c r="G36" s="91">
        <v>6</v>
      </c>
    </row>
    <row r="37" spans="1:7" s="49" customFormat="1" ht="25.5">
      <c r="A37" s="105" t="s">
        <v>262</v>
      </c>
      <c r="B37" s="111" t="s">
        <v>156</v>
      </c>
      <c r="C37" s="111" t="s">
        <v>156</v>
      </c>
      <c r="D37" s="111" t="s">
        <v>156</v>
      </c>
      <c r="E37" s="111" t="s">
        <v>156</v>
      </c>
      <c r="F37" s="30"/>
      <c r="G37" s="30"/>
    </row>
    <row r="38" spans="1:7" ht="12.75">
      <c r="A38" s="112" t="s">
        <v>263</v>
      </c>
      <c r="B38" s="110"/>
      <c r="C38" s="110"/>
      <c r="D38" s="110"/>
      <c r="E38" s="110"/>
      <c r="F38" s="197"/>
      <c r="G38" s="197"/>
    </row>
    <row r="39" spans="1:7" ht="25.5">
      <c r="A39" s="86" t="s">
        <v>346</v>
      </c>
      <c r="B39" s="110" t="s">
        <v>156</v>
      </c>
      <c r="C39" s="110" t="s">
        <v>156</v>
      </c>
      <c r="D39" s="110" t="s">
        <v>156</v>
      </c>
      <c r="E39" s="110" t="s">
        <v>156</v>
      </c>
      <c r="F39" s="197"/>
      <c r="G39" s="197"/>
    </row>
    <row r="40" spans="1:7" ht="12.75">
      <c r="A40" s="112" t="s">
        <v>272</v>
      </c>
      <c r="B40" s="110" t="s">
        <v>156</v>
      </c>
      <c r="C40" s="110" t="s">
        <v>156</v>
      </c>
      <c r="D40" s="110" t="s">
        <v>156</v>
      </c>
      <c r="E40" s="110" t="s">
        <v>156</v>
      </c>
      <c r="F40" s="197"/>
      <c r="G40" s="197"/>
    </row>
    <row r="41" spans="1:7" ht="25.5">
      <c r="A41" s="86" t="s">
        <v>264</v>
      </c>
      <c r="B41" s="204">
        <f>C41</f>
        <v>263</v>
      </c>
      <c r="C41" s="204">
        <v>263</v>
      </c>
      <c r="D41" s="110" t="s">
        <v>156</v>
      </c>
      <c r="E41" s="110" t="s">
        <v>156</v>
      </c>
      <c r="F41" s="197"/>
      <c r="G41" s="242">
        <f>C41</f>
        <v>263</v>
      </c>
    </row>
    <row r="42" spans="1:7" ht="27" customHeight="1">
      <c r="A42" s="112" t="s">
        <v>265</v>
      </c>
      <c r="B42" s="110" t="s">
        <v>156</v>
      </c>
      <c r="C42" s="110" t="s">
        <v>156</v>
      </c>
      <c r="D42" s="110" t="s">
        <v>156</v>
      </c>
      <c r="E42" s="110" t="s">
        <v>156</v>
      </c>
      <c r="F42" s="197"/>
      <c r="G42" s="197"/>
    </row>
    <row r="43" spans="1:7" ht="12.75">
      <c r="A43" s="86" t="s">
        <v>266</v>
      </c>
      <c r="B43" s="110">
        <f>C43</f>
        <v>0</v>
      </c>
      <c r="C43" s="110"/>
      <c r="D43" s="110" t="s">
        <v>156</v>
      </c>
      <c r="E43" s="110" t="s">
        <v>156</v>
      </c>
      <c r="F43" s="197"/>
      <c r="G43" s="197">
        <f>C43</f>
        <v>0</v>
      </c>
    </row>
    <row r="44" spans="1:7" ht="25.5">
      <c r="A44" s="86" t="s">
        <v>279</v>
      </c>
      <c r="B44" s="206">
        <f>C44</f>
        <v>0</v>
      </c>
      <c r="C44" s="110"/>
      <c r="D44" s="110" t="s">
        <v>156</v>
      </c>
      <c r="E44" s="110" t="s">
        <v>156</v>
      </c>
      <c r="F44" s="197"/>
      <c r="G44" s="197">
        <f>C44</f>
        <v>0</v>
      </c>
    </row>
    <row r="45" spans="1:7" ht="12.75">
      <c r="A45" s="86" t="s">
        <v>177</v>
      </c>
      <c r="B45" s="206"/>
      <c r="C45" s="110"/>
      <c r="D45" s="110" t="s">
        <v>156</v>
      </c>
      <c r="E45" s="110" t="s">
        <v>156</v>
      </c>
      <c r="F45" s="197"/>
      <c r="G45" s="197">
        <v>0</v>
      </c>
    </row>
    <row r="46" spans="1:7" ht="12.75">
      <c r="A46" s="86" t="s">
        <v>181</v>
      </c>
      <c r="B46" s="206">
        <f>C46</f>
        <v>0</v>
      </c>
      <c r="C46" s="110"/>
      <c r="D46" s="110" t="s">
        <v>156</v>
      </c>
      <c r="E46" s="110" t="s">
        <v>156</v>
      </c>
      <c r="F46" s="197"/>
      <c r="G46" s="197">
        <f>C46</f>
        <v>0</v>
      </c>
    </row>
    <row r="47" spans="1:7" ht="12.75">
      <c r="A47" s="50"/>
      <c r="B47" s="190"/>
      <c r="C47" s="50"/>
      <c r="D47" s="50"/>
      <c r="E47" s="50"/>
      <c r="F47" s="51"/>
      <c r="G47" s="51"/>
    </row>
    <row r="48" spans="1:7" ht="12.75">
      <c r="A48" s="50"/>
      <c r="B48" s="190"/>
      <c r="C48" s="50"/>
      <c r="D48" s="50"/>
      <c r="E48" s="50"/>
      <c r="F48" s="51"/>
      <c r="G48" s="51"/>
    </row>
    <row r="49" spans="1:7" s="49" customFormat="1" ht="12.75">
      <c r="A49" s="104" t="s">
        <v>6</v>
      </c>
      <c r="B49" s="188">
        <v>1</v>
      </c>
      <c r="C49" s="132">
        <v>2</v>
      </c>
      <c r="D49" s="132">
        <v>3</v>
      </c>
      <c r="E49" s="104">
        <v>4</v>
      </c>
      <c r="F49" s="104">
        <v>5</v>
      </c>
      <c r="G49" s="106">
        <v>6</v>
      </c>
    </row>
    <row r="50" spans="1:7" ht="25.5">
      <c r="A50" s="86" t="s">
        <v>267</v>
      </c>
      <c r="B50" s="210">
        <f>C50</f>
        <v>0</v>
      </c>
      <c r="C50" s="198"/>
      <c r="D50" s="198" t="s">
        <v>156</v>
      </c>
      <c r="E50" s="198" t="s">
        <v>156</v>
      </c>
      <c r="F50" s="199"/>
      <c r="G50" s="199">
        <f>C50</f>
        <v>0</v>
      </c>
    </row>
    <row r="51" spans="1:7" ht="25.5">
      <c r="A51" s="86" t="s">
        <v>268</v>
      </c>
      <c r="B51" s="210"/>
      <c r="C51" s="198"/>
      <c r="D51" s="198"/>
      <c r="E51" s="198"/>
      <c r="F51" s="199"/>
      <c r="G51" s="199"/>
    </row>
    <row r="52" spans="1:7" ht="25.5">
      <c r="A52" s="86" t="s">
        <v>269</v>
      </c>
      <c r="B52" s="238">
        <f>C52</f>
        <v>1036</v>
      </c>
      <c r="C52" s="239">
        <v>1036</v>
      </c>
      <c r="D52" s="239"/>
      <c r="E52" s="239"/>
      <c r="F52" s="240"/>
      <c r="G52" s="240">
        <f>C52</f>
        <v>1036</v>
      </c>
    </row>
    <row r="53" spans="1:7" ht="25.5">
      <c r="A53" s="86" t="s">
        <v>270</v>
      </c>
      <c r="B53" s="238">
        <f>C53</f>
        <v>430</v>
      </c>
      <c r="C53" s="239">
        <v>430</v>
      </c>
      <c r="D53" s="239"/>
      <c r="E53" s="239"/>
      <c r="F53" s="240"/>
      <c r="G53" s="240">
        <f>C53</f>
        <v>430</v>
      </c>
    </row>
    <row r="54" spans="1:7" ht="25.5">
      <c r="A54" s="86" t="s">
        <v>280</v>
      </c>
      <c r="B54" s="239">
        <f>C54</f>
        <v>9676</v>
      </c>
      <c r="C54" s="239">
        <f>C56</f>
        <v>9676</v>
      </c>
      <c r="D54" s="239" t="s">
        <v>156</v>
      </c>
      <c r="E54" s="239" t="s">
        <v>156</v>
      </c>
      <c r="F54" s="240"/>
      <c r="G54" s="240">
        <f>C54</f>
        <v>9676</v>
      </c>
    </row>
    <row r="55" spans="1:7" ht="12.75">
      <c r="A55" s="86" t="s">
        <v>271</v>
      </c>
      <c r="B55" s="201" t="s">
        <v>156</v>
      </c>
      <c r="C55" s="201" t="s">
        <v>156</v>
      </c>
      <c r="D55" s="201" t="s">
        <v>156</v>
      </c>
      <c r="E55" s="201" t="s">
        <v>156</v>
      </c>
      <c r="F55" s="211"/>
      <c r="G55" s="211"/>
    </row>
    <row r="56" spans="1:7" ht="12.75">
      <c r="A56" s="86" t="s">
        <v>402</v>
      </c>
      <c r="B56" s="204">
        <f>C56</f>
        <v>9676</v>
      </c>
      <c r="C56" s="204">
        <v>9676</v>
      </c>
      <c r="D56" s="201"/>
      <c r="E56" s="201"/>
      <c r="F56" s="211"/>
      <c r="G56" s="211"/>
    </row>
    <row r="57" spans="1:7" ht="13.5" customHeight="1">
      <c r="A57" s="105" t="s">
        <v>182</v>
      </c>
      <c r="B57" s="241">
        <f>B41+B43+B44+B50+B52+B54+B53</f>
        <v>11405</v>
      </c>
      <c r="C57" s="241">
        <f>C41+C43+C44+C50+C52+C53+C54</f>
        <v>11405</v>
      </c>
      <c r="D57" s="241"/>
      <c r="E57" s="241"/>
      <c r="F57" s="241">
        <f>F41+F43+F44+F50+F52</f>
        <v>0</v>
      </c>
      <c r="G57" s="241">
        <f>G41+G43+G44+G50+G52+G53+G54</f>
        <v>11405</v>
      </c>
    </row>
    <row r="58" ht="12.75">
      <c r="A58" s="50"/>
    </row>
    <row r="59" ht="12.75">
      <c r="A59" s="50"/>
    </row>
    <row r="60" ht="12.75">
      <c r="A60" s="50"/>
    </row>
    <row r="61" spans="1:5" ht="13.5" customHeight="1">
      <c r="A61" s="53" t="s">
        <v>277</v>
      </c>
      <c r="B61" s="53"/>
      <c r="E61" s="133" t="s">
        <v>126</v>
      </c>
    </row>
    <row r="62" spans="1:5" s="84" customFormat="1" ht="35.25" customHeight="1">
      <c r="A62" s="96" t="s">
        <v>158</v>
      </c>
      <c r="B62" s="96" t="s">
        <v>172</v>
      </c>
      <c r="C62" s="96" t="s">
        <v>173</v>
      </c>
      <c r="D62" s="96" t="s">
        <v>174</v>
      </c>
      <c r="E62" s="96" t="s">
        <v>175</v>
      </c>
    </row>
    <row r="63" spans="1:6" s="58" customFormat="1" ht="12.75">
      <c r="A63" s="104" t="s">
        <v>6</v>
      </c>
      <c r="B63" s="104">
        <v>1</v>
      </c>
      <c r="C63" s="104">
        <v>2</v>
      </c>
      <c r="D63" s="104">
        <v>3</v>
      </c>
      <c r="E63" s="104">
        <v>4</v>
      </c>
      <c r="F63" s="49"/>
    </row>
    <row r="64" spans="1:5" ht="25.5">
      <c r="A64" s="86" t="s">
        <v>273</v>
      </c>
      <c r="B64" s="86" t="s">
        <v>156</v>
      </c>
      <c r="C64" s="86" t="s">
        <v>156</v>
      </c>
      <c r="D64" s="86" t="s">
        <v>156</v>
      </c>
      <c r="E64" s="86"/>
    </row>
    <row r="65" spans="1:5" ht="25.5">
      <c r="A65" s="86" t="s">
        <v>274</v>
      </c>
      <c r="B65" s="86" t="s">
        <v>156</v>
      </c>
      <c r="C65" s="86" t="s">
        <v>156</v>
      </c>
      <c r="D65" s="86" t="s">
        <v>156</v>
      </c>
      <c r="E65" s="86"/>
    </row>
    <row r="66" spans="1:5" ht="12.75">
      <c r="A66" s="86" t="s">
        <v>275</v>
      </c>
      <c r="B66" s="86" t="s">
        <v>156</v>
      </c>
      <c r="C66" s="86" t="s">
        <v>156</v>
      </c>
      <c r="D66" s="86" t="s">
        <v>156</v>
      </c>
      <c r="E66" s="86"/>
    </row>
    <row r="67" spans="1:6" ht="12.75">
      <c r="A67" s="105" t="s">
        <v>176</v>
      </c>
      <c r="B67" s="86" t="s">
        <v>156</v>
      </c>
      <c r="C67" s="86" t="s">
        <v>156</v>
      </c>
      <c r="D67" s="86" t="s">
        <v>156</v>
      </c>
      <c r="E67" s="86"/>
      <c r="F67" s="51"/>
    </row>
    <row r="68" spans="1:6" ht="27" customHeight="1">
      <c r="A68" s="293" t="s">
        <v>347</v>
      </c>
      <c r="B68" s="294"/>
      <c r="C68" s="294"/>
      <c r="D68" s="294"/>
      <c r="E68" s="294"/>
      <c r="F68" s="85"/>
    </row>
    <row r="72" spans="1:6" s="8" customFormat="1" ht="12.75">
      <c r="A72" s="231" t="str">
        <f>'справка № 1ДФ-БАЛАНС'!A62</f>
        <v>Дата: 31.01.2008</v>
      </c>
      <c r="B72" s="314" t="s">
        <v>356</v>
      </c>
      <c r="C72" s="314"/>
      <c r="D72" s="48"/>
      <c r="E72" s="81" t="s">
        <v>411</v>
      </c>
      <c r="F72" s="94"/>
    </row>
    <row r="73" spans="3:7" ht="12.75">
      <c r="C73" s="48" t="s">
        <v>394</v>
      </c>
      <c r="D73" s="48"/>
      <c r="E73" s="313" t="s">
        <v>391</v>
      </c>
      <c r="F73" s="313"/>
      <c r="G73" s="81"/>
    </row>
    <row r="74" spans="5:6" ht="12.75">
      <c r="E74"/>
      <c r="F74"/>
    </row>
    <row r="75" spans="5:6" ht="12.75">
      <c r="E75" s="81" t="s">
        <v>411</v>
      </c>
      <c r="F75" s="94"/>
    </row>
    <row r="76" spans="5:6" ht="12.75">
      <c r="E76" s="313" t="s">
        <v>412</v>
      </c>
      <c r="F76" s="313"/>
    </row>
  </sheetData>
  <mergeCells count="16">
    <mergeCell ref="G33:G35"/>
    <mergeCell ref="C11:F11"/>
    <mergeCell ref="B11:B12"/>
    <mergeCell ref="A11:A12"/>
    <mergeCell ref="A33:A35"/>
    <mergeCell ref="B33:B35"/>
    <mergeCell ref="E73:F73"/>
    <mergeCell ref="E76:F76"/>
    <mergeCell ref="D7:F7"/>
    <mergeCell ref="E1:F1"/>
    <mergeCell ref="C33:F34"/>
    <mergeCell ref="B6:D6"/>
    <mergeCell ref="A3:F3"/>
    <mergeCell ref="A4:F4"/>
    <mergeCell ref="A68:E68"/>
    <mergeCell ref="B72:C72"/>
  </mergeCells>
  <printOptions/>
  <pageMargins left="0.7480314960629921" right="0.7480314960629921" top="0.5511811023622047" bottom="0" header="0.2755905511811024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pane xSplit="1" ySplit="12" topLeftCell="D5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K79" sqref="K79"/>
    </sheetView>
  </sheetViews>
  <sheetFormatPr defaultColWidth="9.140625" defaultRowHeight="12.75"/>
  <cols>
    <col min="1" max="1" width="41.421875" style="7" customWidth="1"/>
    <col min="2" max="2" width="14.00390625" style="7" customWidth="1"/>
    <col min="3" max="3" width="7.421875" style="7" customWidth="1"/>
    <col min="4" max="4" width="5.421875" style="7" customWidth="1"/>
    <col min="5" max="5" width="5.8515625" style="7" customWidth="1"/>
    <col min="6" max="6" width="12.140625" style="7" customWidth="1"/>
    <col min="7" max="7" width="7.8515625" style="7" customWidth="1"/>
    <col min="8" max="9" width="7.57421875" style="7" customWidth="1"/>
    <col min="10" max="10" width="10.00390625" style="7" customWidth="1"/>
    <col min="11" max="11" width="10.28125" style="48" customWidth="1"/>
    <col min="12" max="12" width="8.7109375" style="48" customWidth="1"/>
    <col min="13" max="13" width="7.421875" style="48" customWidth="1"/>
    <col min="14" max="14" width="7.140625" style="7" customWidth="1"/>
    <col min="15" max="15" width="11.28125" style="7" customWidth="1"/>
    <col min="16" max="16" width="9.28125" style="7" customWidth="1"/>
    <col min="17" max="17" width="4.7109375" style="7" hidden="1" customWidth="1"/>
    <col min="18" max="16384" width="9.140625" style="7" customWidth="1"/>
  </cols>
  <sheetData>
    <row r="1" spans="3:17" ht="24.75" customHeight="1">
      <c r="C1" s="48"/>
      <c r="D1" s="48"/>
      <c r="E1" s="48"/>
      <c r="F1" s="48"/>
      <c r="G1" s="48"/>
      <c r="H1" s="48"/>
      <c r="I1" s="48"/>
      <c r="J1" s="48"/>
      <c r="M1" s="297" t="s">
        <v>367</v>
      </c>
      <c r="N1" s="297"/>
      <c r="O1" s="297"/>
      <c r="P1" s="297"/>
      <c r="Q1" s="48"/>
    </row>
    <row r="2" spans="1:15" s="48" customFormat="1" ht="14.25">
      <c r="A2" s="59"/>
      <c r="B2" s="59"/>
      <c r="C2" s="59"/>
      <c r="D2" s="59"/>
      <c r="E2" s="59"/>
      <c r="F2" s="171"/>
      <c r="G2" s="179"/>
      <c r="H2" s="171" t="s">
        <v>183</v>
      </c>
      <c r="I2" s="179"/>
      <c r="J2" s="179"/>
      <c r="K2" s="179"/>
      <c r="L2" s="179"/>
      <c r="M2" s="54"/>
      <c r="N2" s="54"/>
      <c r="O2" s="54"/>
    </row>
    <row r="3" spans="1:16" s="48" customFormat="1" ht="14.25">
      <c r="A3" s="92"/>
      <c r="B3" s="92"/>
      <c r="C3" s="92"/>
      <c r="D3" s="92"/>
      <c r="E3" s="92"/>
      <c r="F3" s="80"/>
      <c r="G3" s="298" t="s">
        <v>348</v>
      </c>
      <c r="H3" s="299"/>
      <c r="I3" s="299"/>
      <c r="J3" s="55"/>
      <c r="K3" s="55"/>
      <c r="L3" s="55"/>
      <c r="M3" s="55"/>
      <c r="N3" s="55"/>
      <c r="O3" s="55"/>
      <c r="P3" s="55"/>
    </row>
    <row r="4" spans="1:16" s="48" customFormat="1" ht="14.25">
      <c r="A4" s="92"/>
      <c r="B4" s="92"/>
      <c r="C4" s="92"/>
      <c r="D4" s="92"/>
      <c r="E4" s="92"/>
      <c r="F4" s="80"/>
      <c r="G4" s="92"/>
      <c r="H4" s="80"/>
      <c r="I4" s="80"/>
      <c r="J4" s="55"/>
      <c r="K4" s="55"/>
      <c r="L4" s="55"/>
      <c r="M4" s="55"/>
      <c r="N4" s="55"/>
      <c r="O4" s="55"/>
      <c r="P4" s="55"/>
    </row>
    <row r="5" spans="1:17" s="48" customFormat="1" ht="15">
      <c r="A5" s="89" t="str">
        <f>'справка № 1ДФ-БАЛАНС'!A6:B6</f>
        <v>ДФ "КД ОБЛИГАЦИИ БЪЛГАРИЯ"</v>
      </c>
      <c r="C5" s="55"/>
      <c r="D5" s="55"/>
      <c r="E5" s="55"/>
      <c r="F5" s="169"/>
      <c r="G5" s="61"/>
      <c r="H5" s="61"/>
      <c r="I5" s="61"/>
      <c r="J5" s="62"/>
      <c r="K5" s="170"/>
      <c r="L5" s="94"/>
      <c r="M5" s="330" t="s">
        <v>362</v>
      </c>
      <c r="N5" s="330"/>
      <c r="O5" s="330"/>
      <c r="P5" s="330"/>
      <c r="Q5" s="180"/>
    </row>
    <row r="6" spans="1:16" ht="12.75">
      <c r="A6" s="257" t="str">
        <f>'справка № 1ДФ-БАЛАНС'!A7</f>
        <v>Отчетен период: 01.01.2007 - 31.12.2007</v>
      </c>
      <c r="B6" s="51"/>
      <c r="C6" s="56"/>
      <c r="D6" s="57"/>
      <c r="E6" s="57"/>
      <c r="F6" s="57"/>
      <c r="G6" s="57"/>
      <c r="H6" s="57"/>
      <c r="I6" s="60"/>
      <c r="J6" s="52" t="s">
        <v>156</v>
      </c>
      <c r="K6" s="52"/>
      <c r="L6" s="52"/>
      <c r="M6" s="52"/>
      <c r="N6" s="57"/>
      <c r="P6" s="263" t="s">
        <v>126</v>
      </c>
    </row>
    <row r="7" spans="1:17" s="19" customFormat="1" ht="26.25" customHeight="1">
      <c r="A7" s="326" t="s">
        <v>158</v>
      </c>
      <c r="B7" s="326" t="s">
        <v>185</v>
      </c>
      <c r="C7" s="326"/>
      <c r="D7" s="326"/>
      <c r="E7" s="326"/>
      <c r="F7" s="326"/>
      <c r="G7" s="326"/>
      <c r="H7" s="326"/>
      <c r="I7" s="326"/>
      <c r="J7" s="326" t="s">
        <v>186</v>
      </c>
      <c r="K7" s="326"/>
      <c r="L7" s="326"/>
      <c r="M7" s="326"/>
      <c r="N7" s="326"/>
      <c r="O7" s="326"/>
      <c r="P7" s="326" t="s">
        <v>214</v>
      </c>
      <c r="Q7" s="341"/>
    </row>
    <row r="8" spans="1:17" s="19" customFormat="1" ht="12.75" customHeight="1">
      <c r="A8" s="327"/>
      <c r="B8" s="326" t="s">
        <v>200</v>
      </c>
      <c r="C8" s="300" t="s">
        <v>187</v>
      </c>
      <c r="D8" s="300" t="s">
        <v>188</v>
      </c>
      <c r="E8" s="300" t="s">
        <v>189</v>
      </c>
      <c r="F8" s="300" t="s">
        <v>359</v>
      </c>
      <c r="G8" s="300" t="s">
        <v>198</v>
      </c>
      <c r="H8" s="300" t="s">
        <v>197</v>
      </c>
      <c r="I8" s="300" t="s">
        <v>199</v>
      </c>
      <c r="J8" s="326" t="s">
        <v>206</v>
      </c>
      <c r="K8" s="295" t="s">
        <v>205</v>
      </c>
      <c r="L8" s="295"/>
      <c r="M8" s="295"/>
      <c r="N8" s="295"/>
      <c r="O8" s="326" t="s">
        <v>207</v>
      </c>
      <c r="P8" s="326"/>
      <c r="Q8" s="342"/>
    </row>
    <row r="9" spans="1:17" s="19" customFormat="1" ht="25.5" customHeight="1">
      <c r="A9" s="327"/>
      <c r="B9" s="326"/>
      <c r="C9" s="300"/>
      <c r="D9" s="300"/>
      <c r="E9" s="300"/>
      <c r="F9" s="300"/>
      <c r="G9" s="300"/>
      <c r="H9" s="300"/>
      <c r="I9" s="300"/>
      <c r="J9" s="326"/>
      <c r="K9" s="300" t="s">
        <v>190</v>
      </c>
      <c r="L9" s="300"/>
      <c r="M9" s="300" t="s">
        <v>191</v>
      </c>
      <c r="N9" s="300"/>
      <c r="O9" s="326"/>
      <c r="P9" s="326"/>
      <c r="Q9" s="342"/>
    </row>
    <row r="10" spans="1:17" s="19" customFormat="1" ht="8.25" customHeight="1">
      <c r="A10" s="327"/>
      <c r="B10" s="326"/>
      <c r="C10" s="300"/>
      <c r="D10" s="300"/>
      <c r="E10" s="300"/>
      <c r="F10" s="300"/>
      <c r="G10" s="300"/>
      <c r="H10" s="300"/>
      <c r="I10" s="300"/>
      <c r="J10" s="326"/>
      <c r="K10" s="327"/>
      <c r="L10" s="327"/>
      <c r="M10" s="327"/>
      <c r="N10" s="327"/>
      <c r="O10" s="326"/>
      <c r="P10" s="326"/>
      <c r="Q10" s="342"/>
    </row>
    <row r="11" spans="1:17" s="19" customFormat="1" ht="21.75" customHeight="1">
      <c r="A11" s="327"/>
      <c r="B11" s="326"/>
      <c r="C11" s="344"/>
      <c r="D11" s="344"/>
      <c r="E11" s="300"/>
      <c r="F11" s="344"/>
      <c r="G11" s="300"/>
      <c r="H11" s="300"/>
      <c r="I11" s="300"/>
      <c r="J11" s="343"/>
      <c r="K11" s="104" t="s">
        <v>109</v>
      </c>
      <c r="L11" s="104" t="s">
        <v>110</v>
      </c>
      <c r="M11" s="104" t="s">
        <v>109</v>
      </c>
      <c r="N11" s="104" t="s">
        <v>110</v>
      </c>
      <c r="O11" s="326"/>
      <c r="P11" s="326"/>
      <c r="Q11" s="342"/>
    </row>
    <row r="12" spans="1:16" s="182" customFormat="1" ht="17.25" customHeight="1">
      <c r="A12" s="96" t="s">
        <v>6</v>
      </c>
      <c r="B12" s="96">
        <v>1</v>
      </c>
      <c r="C12" s="96">
        <v>2</v>
      </c>
      <c r="D12" s="96">
        <v>3</v>
      </c>
      <c r="E12" s="172">
        <v>4</v>
      </c>
      <c r="F12" s="96">
        <v>5</v>
      </c>
      <c r="G12" s="172">
        <v>6</v>
      </c>
      <c r="H12" s="172">
        <v>7</v>
      </c>
      <c r="I12" s="172">
        <v>8</v>
      </c>
      <c r="J12" s="96">
        <v>10</v>
      </c>
      <c r="K12" s="172" t="s">
        <v>201</v>
      </c>
      <c r="L12" s="172" t="s">
        <v>202</v>
      </c>
      <c r="M12" s="172" t="s">
        <v>203</v>
      </c>
      <c r="N12" s="172" t="s">
        <v>204</v>
      </c>
      <c r="O12" s="172">
        <v>13</v>
      </c>
      <c r="P12" s="172">
        <v>14</v>
      </c>
    </row>
    <row r="13" spans="1:16" s="19" customFormat="1" ht="13.5" customHeight="1">
      <c r="A13" s="105" t="s">
        <v>281</v>
      </c>
      <c r="B13" s="173"/>
      <c r="C13" s="86" t="s">
        <v>156</v>
      </c>
      <c r="D13" s="86" t="s">
        <v>156</v>
      </c>
      <c r="E13" s="86"/>
      <c r="F13" s="86" t="s">
        <v>156</v>
      </c>
      <c r="G13" s="86"/>
      <c r="H13" s="86"/>
      <c r="I13" s="86"/>
      <c r="J13" s="86" t="s">
        <v>156</v>
      </c>
      <c r="K13" s="86" t="s">
        <v>156</v>
      </c>
      <c r="L13" s="86"/>
      <c r="M13" s="86"/>
      <c r="N13" s="86" t="s">
        <v>156</v>
      </c>
      <c r="O13" s="86" t="s">
        <v>156</v>
      </c>
      <c r="P13" s="9"/>
    </row>
    <row r="14" spans="1:16" s="19" customFormat="1" ht="15" customHeight="1">
      <c r="A14" s="174" t="s">
        <v>349</v>
      </c>
      <c r="B14" s="86"/>
      <c r="C14" s="86" t="s">
        <v>156</v>
      </c>
      <c r="D14" s="86" t="s">
        <v>156</v>
      </c>
      <c r="E14" s="86"/>
      <c r="F14" s="86" t="s">
        <v>156</v>
      </c>
      <c r="G14" s="86"/>
      <c r="H14" s="86"/>
      <c r="I14" s="86"/>
      <c r="J14" s="86" t="s">
        <v>156</v>
      </c>
      <c r="K14" s="86" t="s">
        <v>156</v>
      </c>
      <c r="L14" s="86"/>
      <c r="M14" s="86"/>
      <c r="N14" s="86" t="s">
        <v>156</v>
      </c>
      <c r="O14" s="86" t="s">
        <v>156</v>
      </c>
      <c r="P14" s="9"/>
    </row>
    <row r="15" spans="1:16" s="58" customFormat="1" ht="12.75">
      <c r="A15" s="111" t="s">
        <v>208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1"/>
    </row>
    <row r="16" spans="1:16" s="19" customFormat="1" ht="12.75">
      <c r="A16" s="86" t="s">
        <v>282</v>
      </c>
      <c r="B16" s="86"/>
      <c r="C16" s="86" t="s">
        <v>156</v>
      </c>
      <c r="D16" s="86" t="s">
        <v>156</v>
      </c>
      <c r="E16" s="86"/>
      <c r="F16" s="86" t="s">
        <v>156</v>
      </c>
      <c r="G16" s="86"/>
      <c r="H16" s="86"/>
      <c r="I16" s="86"/>
      <c r="J16" s="86" t="s">
        <v>156</v>
      </c>
      <c r="K16" s="86" t="s">
        <v>156</v>
      </c>
      <c r="L16" s="86"/>
      <c r="M16" s="86"/>
      <c r="N16" s="86" t="s">
        <v>156</v>
      </c>
      <c r="O16" s="86" t="s">
        <v>156</v>
      </c>
      <c r="P16" s="9"/>
    </row>
    <row r="17" spans="1:16" s="58" customFormat="1" ht="19.5" customHeight="1">
      <c r="A17" s="86" t="s">
        <v>192</v>
      </c>
      <c r="B17" s="86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1"/>
    </row>
    <row r="18" spans="1:16" s="58" customFormat="1" ht="18" customHeight="1">
      <c r="A18" s="86" t="s">
        <v>193</v>
      </c>
      <c r="B18" s="86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1"/>
    </row>
    <row r="19" spans="1:16" s="58" customFormat="1" ht="12.75">
      <c r="A19" s="86" t="s">
        <v>194</v>
      </c>
      <c r="B19" s="86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"/>
    </row>
    <row r="20" spans="1:16" s="58" customFormat="1" ht="12.75">
      <c r="A20" s="111" t="s">
        <v>209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1"/>
    </row>
    <row r="21" spans="1:16" s="58" customFormat="1" ht="12.75">
      <c r="A21" s="86" t="s">
        <v>283</v>
      </c>
      <c r="B21" s="86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1"/>
    </row>
    <row r="22" spans="1:16" s="58" customFormat="1" ht="12.75">
      <c r="A22" s="111" t="s">
        <v>210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1"/>
    </row>
    <row r="23" spans="1:16" s="19" customFormat="1" ht="25.5">
      <c r="A23" s="86" t="s">
        <v>284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9"/>
    </row>
    <row r="24" spans="1:16" s="19" customFormat="1" ht="12.75">
      <c r="A24" s="176" t="s">
        <v>285</v>
      </c>
      <c r="B24" s="112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"/>
    </row>
    <row r="25" spans="1:16" s="19" customFormat="1" ht="12.75">
      <c r="A25" s="111" t="s">
        <v>294</v>
      </c>
      <c r="B25" s="173"/>
      <c r="C25" s="86" t="s">
        <v>156</v>
      </c>
      <c r="D25" s="86" t="s">
        <v>156</v>
      </c>
      <c r="E25" s="86"/>
      <c r="F25" s="86" t="s">
        <v>156</v>
      </c>
      <c r="G25" s="86"/>
      <c r="H25" s="86"/>
      <c r="I25" s="86"/>
      <c r="J25" s="86" t="s">
        <v>156</v>
      </c>
      <c r="K25" s="86" t="s">
        <v>156</v>
      </c>
      <c r="L25" s="86"/>
      <c r="M25" s="86"/>
      <c r="N25" s="86" t="s">
        <v>156</v>
      </c>
      <c r="O25" s="86" t="s">
        <v>156</v>
      </c>
      <c r="P25" s="9"/>
    </row>
    <row r="26" spans="1:16" s="19" customFormat="1" ht="33" customHeight="1">
      <c r="A26" s="177" t="s">
        <v>286</v>
      </c>
      <c r="B26" s="178"/>
      <c r="C26" s="86" t="s">
        <v>156</v>
      </c>
      <c r="D26" s="86" t="s">
        <v>156</v>
      </c>
      <c r="E26" s="86"/>
      <c r="F26" s="86" t="s">
        <v>156</v>
      </c>
      <c r="G26" s="86"/>
      <c r="H26" s="86"/>
      <c r="I26" s="86"/>
      <c r="J26" s="86" t="s">
        <v>156</v>
      </c>
      <c r="K26" s="86" t="s">
        <v>156</v>
      </c>
      <c r="L26" s="86"/>
      <c r="M26" s="86"/>
      <c r="N26" s="86" t="s">
        <v>156</v>
      </c>
      <c r="O26" s="86" t="s">
        <v>156</v>
      </c>
      <c r="P26" s="9"/>
    </row>
    <row r="27" spans="1:16" s="19" customFormat="1" ht="18" customHeight="1">
      <c r="A27" s="177" t="s">
        <v>287</v>
      </c>
      <c r="B27" s="178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9"/>
    </row>
    <row r="28" spans="1:16" s="19" customFormat="1" ht="15.75" customHeight="1">
      <c r="A28" s="86" t="s">
        <v>358</v>
      </c>
      <c r="B28" s="86"/>
      <c r="C28" s="86" t="s">
        <v>156</v>
      </c>
      <c r="D28" s="86" t="s">
        <v>156</v>
      </c>
      <c r="E28" s="86"/>
      <c r="F28" s="86" t="s">
        <v>156</v>
      </c>
      <c r="G28" s="86"/>
      <c r="H28" s="86"/>
      <c r="I28" s="86"/>
      <c r="J28" s="86" t="s">
        <v>156</v>
      </c>
      <c r="K28" s="86" t="s">
        <v>156</v>
      </c>
      <c r="L28" s="86"/>
      <c r="M28" s="86"/>
      <c r="N28" s="86" t="s">
        <v>156</v>
      </c>
      <c r="O28" s="201"/>
      <c r="P28" s="9"/>
    </row>
    <row r="29" spans="1:18" s="58" customFormat="1" ht="12" customHeight="1">
      <c r="A29" s="86" t="s">
        <v>368</v>
      </c>
      <c r="B29" s="86" t="s">
        <v>355</v>
      </c>
      <c r="C29" s="110">
        <v>3000</v>
      </c>
      <c r="D29" s="203"/>
      <c r="E29" s="112"/>
      <c r="F29" s="86" t="s">
        <v>354</v>
      </c>
      <c r="G29" s="112" t="s">
        <v>371</v>
      </c>
      <c r="H29" s="86"/>
      <c r="I29" s="86"/>
      <c r="J29" s="204">
        <f>O29-K29+L29</f>
        <v>38700</v>
      </c>
      <c r="K29" s="204">
        <v>28017</v>
      </c>
      <c r="L29" s="204">
        <v>32697</v>
      </c>
      <c r="M29" s="86"/>
      <c r="N29" s="86"/>
      <c r="O29" s="204">
        <v>34020</v>
      </c>
      <c r="P29" s="205">
        <v>4.3265282504044995</v>
      </c>
      <c r="R29" s="209"/>
    </row>
    <row r="30" spans="1:18" s="58" customFormat="1" ht="13.5" customHeight="1">
      <c r="A30" s="86" t="s">
        <v>393</v>
      </c>
      <c r="B30" s="86" t="s">
        <v>397</v>
      </c>
      <c r="C30" s="110">
        <v>1548</v>
      </c>
      <c r="D30" s="203"/>
      <c r="E30" s="86"/>
      <c r="F30" s="86" t="s">
        <v>354</v>
      </c>
      <c r="G30" s="86" t="s">
        <v>370</v>
      </c>
      <c r="H30" s="86"/>
      <c r="I30" s="86"/>
      <c r="J30" s="204">
        <f>O30-K30+L30</f>
        <v>37581.649999999994</v>
      </c>
      <c r="K30" s="204">
        <v>53979.83</v>
      </c>
      <c r="L30" s="204">
        <v>44254.6</v>
      </c>
      <c r="M30" s="86"/>
      <c r="N30" s="86"/>
      <c r="O30" s="204">
        <v>47306.88</v>
      </c>
      <c r="P30" s="205">
        <v>6.0163007865518985</v>
      </c>
      <c r="R30" s="209"/>
    </row>
    <row r="31" spans="1:18" s="58" customFormat="1" ht="13.5" customHeight="1">
      <c r="A31" s="86" t="s">
        <v>395</v>
      </c>
      <c r="B31" s="86" t="s">
        <v>396</v>
      </c>
      <c r="C31" s="110">
        <v>623</v>
      </c>
      <c r="D31" s="203"/>
      <c r="E31" s="86"/>
      <c r="F31" s="86" t="s">
        <v>354</v>
      </c>
      <c r="G31" s="86" t="s">
        <v>370</v>
      </c>
      <c r="H31" s="86"/>
      <c r="I31" s="86"/>
      <c r="J31" s="204">
        <f>O31-K31+L31</f>
        <v>20909.659999999996</v>
      </c>
      <c r="K31" s="204">
        <v>13032.2</v>
      </c>
      <c r="L31" s="204">
        <v>15800.1</v>
      </c>
      <c r="M31" s="86"/>
      <c r="N31" s="86"/>
      <c r="O31" s="204">
        <v>18141.76</v>
      </c>
      <c r="P31" s="205">
        <v>2.307196859260974</v>
      </c>
      <c r="R31" s="209"/>
    </row>
    <row r="32" spans="1:18" s="58" customFormat="1" ht="13.5" customHeight="1">
      <c r="A32" s="86" t="s">
        <v>400</v>
      </c>
      <c r="B32" s="281" t="s">
        <v>403</v>
      </c>
      <c r="C32" s="110">
        <v>400</v>
      </c>
      <c r="D32" s="203"/>
      <c r="E32" s="86"/>
      <c r="F32" s="86" t="s">
        <v>354</v>
      </c>
      <c r="G32" s="86"/>
      <c r="H32" s="86"/>
      <c r="I32" s="86"/>
      <c r="J32" s="204">
        <f>O32-K32+L32</f>
        <v>42056</v>
      </c>
      <c r="K32" s="204">
        <v>11188.4</v>
      </c>
      <c r="L32" s="204">
        <v>14832.4</v>
      </c>
      <c r="M32" s="86"/>
      <c r="N32" s="86"/>
      <c r="O32" s="204">
        <v>38412</v>
      </c>
      <c r="P32" s="205">
        <v>4.885085336700107</v>
      </c>
      <c r="R32" s="209"/>
    </row>
    <row r="33" spans="1:18" s="58" customFormat="1" ht="13.5" customHeight="1">
      <c r="A33" s="86" t="s">
        <v>407</v>
      </c>
      <c r="B33" s="287" t="s">
        <v>408</v>
      </c>
      <c r="C33" s="110">
        <v>3000</v>
      </c>
      <c r="D33" s="203"/>
      <c r="E33" s="86"/>
      <c r="F33" s="86" t="s">
        <v>354</v>
      </c>
      <c r="G33" s="86"/>
      <c r="H33" s="86"/>
      <c r="I33" s="86"/>
      <c r="J33" s="204">
        <f>O33-K33+L33</f>
        <v>14040</v>
      </c>
      <c r="K33" s="204">
        <v>14400</v>
      </c>
      <c r="L33" s="204">
        <v>14400</v>
      </c>
      <c r="M33" s="86"/>
      <c r="N33" s="86"/>
      <c r="O33" s="204">
        <v>14040</v>
      </c>
      <c r="P33" s="205">
        <v>1.7855513414367776</v>
      </c>
      <c r="R33" s="209"/>
    </row>
    <row r="34" spans="1:16" s="58" customFormat="1" ht="12.75">
      <c r="A34" s="111" t="s">
        <v>212</v>
      </c>
      <c r="B34" s="105"/>
      <c r="C34" s="105"/>
      <c r="D34" s="105"/>
      <c r="E34" s="105"/>
      <c r="F34" s="105"/>
      <c r="G34" s="105"/>
      <c r="H34" s="105"/>
      <c r="I34" s="105"/>
      <c r="J34" s="200">
        <f>SUM(J29:J33)</f>
        <v>153287.31</v>
      </c>
      <c r="K34" s="200">
        <f>SUM(K29:K33)</f>
        <v>120617.43</v>
      </c>
      <c r="L34" s="200">
        <f>SUM(L29:L33)</f>
        <v>121984.1</v>
      </c>
      <c r="M34" s="200"/>
      <c r="N34" s="200"/>
      <c r="O34" s="200">
        <f>SUM(O29:O33)</f>
        <v>151920.64</v>
      </c>
      <c r="P34" s="282">
        <f>SUM(P29:P33)</f>
        <v>19.32066257435426</v>
      </c>
    </row>
    <row r="35" spans="1:16" s="19" customFormat="1" ht="13.5" customHeight="1">
      <c r="A35" s="86" t="s">
        <v>288</v>
      </c>
      <c r="B35" s="86"/>
      <c r="C35" s="86" t="s">
        <v>156</v>
      </c>
      <c r="D35" s="86" t="s">
        <v>156</v>
      </c>
      <c r="E35" s="86"/>
      <c r="F35" s="86" t="s">
        <v>156</v>
      </c>
      <c r="G35" s="86"/>
      <c r="H35" s="86"/>
      <c r="I35" s="86"/>
      <c r="J35" s="86" t="s">
        <v>156</v>
      </c>
      <c r="K35" s="86" t="s">
        <v>156</v>
      </c>
      <c r="L35" s="86"/>
      <c r="M35" s="86"/>
      <c r="N35" s="86" t="s">
        <v>156</v>
      </c>
      <c r="O35" s="110">
        <v>0</v>
      </c>
      <c r="P35" s="205">
        <f>ROUND(O35/'справка № 1ДФ-БАЛАНС'!$B$56*100,2)</f>
        <v>0</v>
      </c>
    </row>
    <row r="36" spans="1:16" s="19" customFormat="1" ht="15" customHeight="1">
      <c r="A36" s="86" t="s">
        <v>289</v>
      </c>
      <c r="B36" s="86"/>
      <c r="C36" s="86" t="s">
        <v>156</v>
      </c>
      <c r="D36" s="86" t="s">
        <v>156</v>
      </c>
      <c r="E36" s="86"/>
      <c r="F36" s="86" t="s">
        <v>156</v>
      </c>
      <c r="G36" s="86"/>
      <c r="H36" s="86"/>
      <c r="I36" s="86"/>
      <c r="J36" s="105"/>
      <c r="K36" s="105"/>
      <c r="L36" s="105"/>
      <c r="M36" s="105"/>
      <c r="N36" s="105"/>
      <c r="O36" s="111"/>
      <c r="P36" s="205">
        <f>ROUND(O36/'справка № 1ДФ-БАЛАНС'!$B$56*100,2)</f>
        <v>0</v>
      </c>
    </row>
    <row r="37" spans="1:16" s="58" customFormat="1" ht="12.75" customHeight="1">
      <c r="A37" s="86" t="s">
        <v>192</v>
      </c>
      <c r="B37" s="86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200"/>
      <c r="P37" s="205">
        <f>ROUND(O37/'справка № 1ДФ-БАЛАНС'!$B$56*100,2)</f>
        <v>0</v>
      </c>
    </row>
    <row r="38" spans="1:16" s="58" customFormat="1" ht="16.5" customHeight="1">
      <c r="A38" s="86" t="s">
        <v>379</v>
      </c>
      <c r="B38" s="217" t="s">
        <v>381</v>
      </c>
      <c r="C38" s="217">
        <v>25</v>
      </c>
      <c r="D38" s="105"/>
      <c r="E38" s="105"/>
      <c r="F38" s="86" t="s">
        <v>354</v>
      </c>
      <c r="G38" s="105"/>
      <c r="H38" s="105"/>
      <c r="I38" s="105"/>
      <c r="J38" s="204">
        <f aca="true" t="shared" si="0" ref="J38:J46">O38-K38+L38</f>
        <v>25968.97</v>
      </c>
      <c r="K38" s="204">
        <v>52.5</v>
      </c>
      <c r="L38" s="204">
        <v>75</v>
      </c>
      <c r="M38" s="204"/>
      <c r="N38" s="204"/>
      <c r="O38" s="244">
        <v>25946.47</v>
      </c>
      <c r="P38" s="205">
        <v>3.299768825786973</v>
      </c>
    </row>
    <row r="39" spans="1:16" s="58" customFormat="1" ht="16.5" customHeight="1">
      <c r="A39" s="86" t="s">
        <v>380</v>
      </c>
      <c r="B39" s="217" t="s">
        <v>382</v>
      </c>
      <c r="C39" s="217">
        <v>45</v>
      </c>
      <c r="D39" s="105"/>
      <c r="E39" s="105"/>
      <c r="F39" s="86" t="s">
        <v>354</v>
      </c>
      <c r="G39" s="105"/>
      <c r="H39" s="105"/>
      <c r="I39" s="105"/>
      <c r="J39" s="204">
        <f t="shared" si="0"/>
        <v>46890.46000000001</v>
      </c>
      <c r="K39" s="204">
        <v>186.34</v>
      </c>
      <c r="L39" s="204">
        <v>465.75</v>
      </c>
      <c r="M39" s="204"/>
      <c r="N39" s="204"/>
      <c r="O39" s="244">
        <v>46611.05</v>
      </c>
      <c r="P39" s="205">
        <v>5.9278078955325295</v>
      </c>
    </row>
    <row r="40" spans="1:16" s="58" customFormat="1" ht="16.5" customHeight="1">
      <c r="A40" s="86" t="s">
        <v>369</v>
      </c>
      <c r="B40" s="217" t="s">
        <v>383</v>
      </c>
      <c r="C40" s="217">
        <v>46</v>
      </c>
      <c r="D40" s="105"/>
      <c r="E40" s="105"/>
      <c r="F40" s="86" t="s">
        <v>354</v>
      </c>
      <c r="G40" s="105"/>
      <c r="H40" s="105"/>
      <c r="I40" s="105"/>
      <c r="J40" s="204">
        <f t="shared" si="0"/>
        <v>46854.36</v>
      </c>
      <c r="K40" s="204">
        <v>245.64</v>
      </c>
      <c r="L40" s="204">
        <v>697.82</v>
      </c>
      <c r="M40" s="204"/>
      <c r="N40" s="204"/>
      <c r="O40" s="244">
        <v>46402.18</v>
      </c>
      <c r="P40" s="205">
        <v>5.90124463992812</v>
      </c>
    </row>
    <row r="41" spans="1:16" s="58" customFormat="1" ht="15.75" customHeight="1">
      <c r="A41" s="86" t="s">
        <v>373</v>
      </c>
      <c r="B41" s="217" t="s">
        <v>375</v>
      </c>
      <c r="C41" s="217">
        <v>31</v>
      </c>
      <c r="D41" s="203"/>
      <c r="E41" s="86"/>
      <c r="F41" s="86" t="s">
        <v>354</v>
      </c>
      <c r="G41" s="86"/>
      <c r="H41" s="86"/>
      <c r="I41" s="86"/>
      <c r="J41" s="204">
        <f>O41-M41+N41</f>
        <v>62633.43</v>
      </c>
      <c r="K41" s="204"/>
      <c r="L41" s="204"/>
      <c r="M41" s="204"/>
      <c r="N41" s="204"/>
      <c r="O41" s="244">
        <v>62633.43</v>
      </c>
      <c r="P41" s="205">
        <v>7.96547043841072</v>
      </c>
    </row>
    <row r="42" spans="1:16" s="58" customFormat="1" ht="16.5" customHeight="1">
      <c r="A42" s="86" t="s">
        <v>388</v>
      </c>
      <c r="B42" s="279" t="s">
        <v>390</v>
      </c>
      <c r="C42" s="217">
        <v>24</v>
      </c>
      <c r="D42" s="203"/>
      <c r="E42" s="86"/>
      <c r="F42" s="86" t="s">
        <v>354</v>
      </c>
      <c r="G42" s="86"/>
      <c r="H42" s="86"/>
      <c r="I42" s="86"/>
      <c r="J42" s="204">
        <f>O42-K42+L42</f>
        <v>47187.14</v>
      </c>
      <c r="K42" s="204">
        <v>2832.94</v>
      </c>
      <c r="L42" s="204">
        <v>3054.5</v>
      </c>
      <c r="M42" s="204"/>
      <c r="N42" s="204"/>
      <c r="O42" s="244">
        <v>46965.58</v>
      </c>
      <c r="P42" s="205">
        <v>5.972895610424237</v>
      </c>
    </row>
    <row r="43" spans="1:16" s="58" customFormat="1" ht="17.25" customHeight="1">
      <c r="A43" s="86" t="s">
        <v>372</v>
      </c>
      <c r="B43" s="216" t="s">
        <v>374</v>
      </c>
      <c r="C43" s="217">
        <v>10</v>
      </c>
      <c r="D43" s="203"/>
      <c r="E43" s="86"/>
      <c r="F43" s="86" t="s">
        <v>354</v>
      </c>
      <c r="G43" s="86"/>
      <c r="H43" s="86"/>
      <c r="I43" s="86"/>
      <c r="J43" s="204">
        <f>O43-K43+L43</f>
        <v>20192.559999999998</v>
      </c>
      <c r="K43" s="204">
        <v>211.99</v>
      </c>
      <c r="L43" s="204">
        <v>30.1</v>
      </c>
      <c r="M43" s="204"/>
      <c r="N43" s="204"/>
      <c r="O43" s="244">
        <v>20374.45</v>
      </c>
      <c r="P43" s="205">
        <v>2.591141490636507</v>
      </c>
    </row>
    <row r="44" spans="1:16" s="58" customFormat="1" ht="16.5" customHeight="1">
      <c r="A44" s="86" t="s">
        <v>399</v>
      </c>
      <c r="B44" s="279" t="s">
        <v>398</v>
      </c>
      <c r="C44" s="217">
        <v>9</v>
      </c>
      <c r="D44" s="203"/>
      <c r="E44" s="86"/>
      <c r="F44" s="86" t="s">
        <v>354</v>
      </c>
      <c r="G44" s="86"/>
      <c r="H44" s="86"/>
      <c r="I44" s="86"/>
      <c r="J44" s="204">
        <f>O44-M44+N44</f>
        <v>18242.58</v>
      </c>
      <c r="K44" s="204">
        <v>408.15</v>
      </c>
      <c r="L44" s="204">
        <v>538.68</v>
      </c>
      <c r="M44" s="204"/>
      <c r="N44" s="204"/>
      <c r="O44" s="244">
        <v>18242.58</v>
      </c>
      <c r="P44" s="205">
        <v>2.320018745745565</v>
      </c>
    </row>
    <row r="45" spans="1:16" s="58" customFormat="1" ht="16.5" customHeight="1">
      <c r="A45" s="86" t="s">
        <v>409</v>
      </c>
      <c r="B45" s="279" t="s">
        <v>401</v>
      </c>
      <c r="C45" s="217">
        <v>23</v>
      </c>
      <c r="D45" s="203"/>
      <c r="E45" s="86"/>
      <c r="F45" s="86" t="s">
        <v>354</v>
      </c>
      <c r="G45" s="86"/>
      <c r="H45" s="86"/>
      <c r="I45" s="86"/>
      <c r="J45" s="204">
        <f t="shared" si="0"/>
        <v>45563.45</v>
      </c>
      <c r="K45" s="204">
        <v>1807.65</v>
      </c>
      <c r="L45" s="204">
        <v>1715.71</v>
      </c>
      <c r="M45" s="204"/>
      <c r="N45" s="204"/>
      <c r="O45" s="244">
        <v>45655.39</v>
      </c>
      <c r="P45" s="205">
        <v>5.8062708588546466</v>
      </c>
    </row>
    <row r="46" spans="1:16" s="58" customFormat="1" ht="16.5" customHeight="1">
      <c r="A46" s="86" t="s">
        <v>410</v>
      </c>
      <c r="B46" s="283" t="s">
        <v>404</v>
      </c>
      <c r="C46" s="217">
        <v>20</v>
      </c>
      <c r="D46" s="203"/>
      <c r="E46" s="86"/>
      <c r="F46" s="86" t="s">
        <v>354</v>
      </c>
      <c r="G46" s="86"/>
      <c r="H46" s="86"/>
      <c r="I46" s="86"/>
      <c r="J46" s="204">
        <f t="shared" si="0"/>
        <v>39183.55</v>
      </c>
      <c r="K46" s="204">
        <v>2847.86</v>
      </c>
      <c r="L46" s="204">
        <v>2990.09</v>
      </c>
      <c r="M46" s="204"/>
      <c r="N46" s="204"/>
      <c r="O46" s="244">
        <v>39041.32</v>
      </c>
      <c r="P46" s="205">
        <v>4.9651197505315166</v>
      </c>
    </row>
    <row r="47" spans="1:16" s="58" customFormat="1" ht="15" customHeight="1">
      <c r="A47" s="86" t="s">
        <v>387</v>
      </c>
      <c r="B47" s="278" t="s">
        <v>389</v>
      </c>
      <c r="C47" s="217">
        <v>14</v>
      </c>
      <c r="D47" s="203"/>
      <c r="E47" s="86"/>
      <c r="F47" s="86"/>
      <c r="G47" s="86"/>
      <c r="H47" s="86"/>
      <c r="I47" s="86"/>
      <c r="J47" s="204">
        <f>O47-M47+N47</f>
        <v>28425.01</v>
      </c>
      <c r="K47" s="204"/>
      <c r="L47" s="204"/>
      <c r="M47" s="204">
        <v>400.72</v>
      </c>
      <c r="N47" s="204">
        <v>352.73</v>
      </c>
      <c r="O47" s="244">
        <v>28473</v>
      </c>
      <c r="P47" s="205">
        <v>3.621082859311208</v>
      </c>
    </row>
    <row r="48" spans="1:16" s="58" customFormat="1" ht="16.5" customHeight="1">
      <c r="A48" s="86" t="s">
        <v>193</v>
      </c>
      <c r="B48" s="86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200"/>
      <c r="P48" s="205"/>
    </row>
    <row r="49" spans="1:16" s="58" customFormat="1" ht="14.25" customHeight="1">
      <c r="A49" s="86" t="s">
        <v>195</v>
      </c>
      <c r="B49" s="86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200"/>
      <c r="P49" s="205">
        <f>ROUND(O49/'справка № 1ДФ-БАЛАНС'!$B$56*100,2)</f>
        <v>0</v>
      </c>
    </row>
    <row r="50" spans="1:16" s="58" customFormat="1" ht="12.75">
      <c r="A50" s="111" t="s">
        <v>213</v>
      </c>
      <c r="B50" s="175"/>
      <c r="C50" s="105"/>
      <c r="D50" s="105"/>
      <c r="E50" s="105"/>
      <c r="F50" s="105"/>
      <c r="G50" s="105"/>
      <c r="H50" s="105"/>
      <c r="I50" s="105"/>
      <c r="J50" s="200">
        <f>SUM(J38:J49)</f>
        <v>381141.51</v>
      </c>
      <c r="K50" s="200">
        <f>SUM(K38:K49)</f>
        <v>8593.07</v>
      </c>
      <c r="L50" s="200">
        <f>SUM(L38:L49)</f>
        <v>9567.650000000001</v>
      </c>
      <c r="M50" s="200">
        <f>SUM(M38:M49)</f>
        <v>400.72</v>
      </c>
      <c r="N50" s="200">
        <f>SUM(N38:N49)</f>
        <v>352.73</v>
      </c>
      <c r="O50" s="200">
        <f>SUM(O38:O49)</f>
        <v>380345.45000000007</v>
      </c>
      <c r="P50" s="282">
        <f>SUM(P38:P49)</f>
        <v>48.37082111516202</v>
      </c>
    </row>
    <row r="51" spans="1:16" s="19" customFormat="1" ht="14.25" customHeight="1">
      <c r="A51" s="86" t="s">
        <v>296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204"/>
      <c r="P51" s="205">
        <f>ROUND(O51/'справка № 1ДФ-БАЛАНС'!$B$56*100,2)</f>
        <v>0</v>
      </c>
    </row>
    <row r="52" spans="1:16" s="58" customFormat="1" ht="12.75">
      <c r="A52" s="86" t="s">
        <v>196</v>
      </c>
      <c r="B52" s="8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200"/>
      <c r="P52" s="205">
        <f>ROUND(O52/'справка № 1ДФ-БАЛАНС'!$B$56*100,2)</f>
        <v>0</v>
      </c>
    </row>
    <row r="53" spans="1:16" s="58" customFormat="1" ht="12.75">
      <c r="A53" s="174" t="s">
        <v>290</v>
      </c>
      <c r="B53" s="86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200"/>
      <c r="P53" s="205">
        <f>ROUND(O53/'справка № 1ДФ-БАЛАНС'!$B$56*100,2)</f>
        <v>0</v>
      </c>
    </row>
    <row r="54" spans="1:16" s="58" customFormat="1" ht="12.75">
      <c r="A54" s="86" t="s">
        <v>20</v>
      </c>
      <c r="B54" s="86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200"/>
      <c r="P54" s="205">
        <f>ROUND(O54/'справка № 1ДФ-БАЛАНС'!$B$56*100,2)</f>
        <v>0</v>
      </c>
    </row>
    <row r="55" spans="1:16" s="58" customFormat="1" ht="13.5">
      <c r="A55" s="111" t="s">
        <v>293</v>
      </c>
      <c r="B55" s="109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200"/>
      <c r="P55" s="205">
        <f>ROUND(O55/'справка № 1ДФ-БАЛАНС'!$B$56*100,2)</f>
        <v>0</v>
      </c>
    </row>
    <row r="56" spans="1:16" s="19" customFormat="1" ht="13.5" customHeight="1">
      <c r="A56" s="86" t="s">
        <v>291</v>
      </c>
      <c r="B56" s="86"/>
      <c r="C56" s="86" t="s">
        <v>156</v>
      </c>
      <c r="D56" s="86" t="s">
        <v>156</v>
      </c>
      <c r="E56" s="86"/>
      <c r="F56" s="86" t="s">
        <v>156</v>
      </c>
      <c r="G56" s="86"/>
      <c r="H56" s="86"/>
      <c r="I56" s="86"/>
      <c r="J56" s="86"/>
      <c r="K56" s="86"/>
      <c r="L56" s="86"/>
      <c r="M56" s="86"/>
      <c r="N56" s="86"/>
      <c r="O56" s="204"/>
      <c r="P56" s="205">
        <f>ROUND(O56/'справка № 1ДФ-БАЛАНС'!$B$56*100,2)</f>
        <v>0</v>
      </c>
    </row>
    <row r="57" spans="1:16" s="19" customFormat="1" ht="12.75">
      <c r="A57" s="86"/>
      <c r="B57" s="86"/>
      <c r="C57" s="110"/>
      <c r="D57" s="203"/>
      <c r="E57" s="86"/>
      <c r="F57" s="86"/>
      <c r="G57" s="86"/>
      <c r="H57" s="86"/>
      <c r="I57" s="86"/>
      <c r="J57" s="204"/>
      <c r="K57" s="110"/>
      <c r="L57" s="110"/>
      <c r="M57" s="110"/>
      <c r="N57" s="110"/>
      <c r="O57" s="204"/>
      <c r="P57" s="205">
        <f>ROUND(O57/'справка № 1ДФ-БАЛАНС'!$B$56*100,2)</f>
        <v>0</v>
      </c>
    </row>
    <row r="58" spans="1:16" s="19" customFormat="1" ht="12.75">
      <c r="A58" s="111" t="s">
        <v>307</v>
      </c>
      <c r="B58" s="86"/>
      <c r="C58" s="86"/>
      <c r="D58" s="86"/>
      <c r="E58" s="86"/>
      <c r="F58" s="86"/>
      <c r="G58" s="86"/>
      <c r="H58" s="86"/>
      <c r="I58" s="86"/>
      <c r="J58" s="200">
        <f>SUM(J57:J57)</f>
        <v>0</v>
      </c>
      <c r="K58" s="200">
        <f>SUM(K57:K57)</f>
        <v>0</v>
      </c>
      <c r="L58" s="200">
        <f>SUM(L57:L57)</f>
        <v>0</v>
      </c>
      <c r="M58" s="105"/>
      <c r="N58" s="105"/>
      <c r="O58" s="200">
        <f>SUM(O57:O57)</f>
        <v>0</v>
      </c>
      <c r="P58" s="205">
        <f>ROUND(O58/'справка № 1ДФ-БАЛАНС'!$B$56*100,2)</f>
        <v>0</v>
      </c>
    </row>
    <row r="59" spans="1:16" s="19" customFormat="1" ht="12.75">
      <c r="A59" s="30" t="s">
        <v>229</v>
      </c>
      <c r="B59" s="86"/>
      <c r="C59" s="86" t="s">
        <v>156</v>
      </c>
      <c r="D59" s="86" t="s">
        <v>156</v>
      </c>
      <c r="E59" s="86"/>
      <c r="F59" s="86" t="s">
        <v>156</v>
      </c>
      <c r="G59" s="86"/>
      <c r="H59" s="86"/>
      <c r="I59" s="86"/>
      <c r="J59" s="200">
        <f>J34+J50+J58</f>
        <v>534428.8200000001</v>
      </c>
      <c r="K59" s="200">
        <f>K34+K50+K58</f>
        <v>129210.5</v>
      </c>
      <c r="L59" s="200">
        <f>L34+L50+L58</f>
        <v>131551.75</v>
      </c>
      <c r="M59" s="86"/>
      <c r="N59" s="86" t="s">
        <v>156</v>
      </c>
      <c r="O59" s="200">
        <f>O34+O50+O58</f>
        <v>532266.0900000001</v>
      </c>
      <c r="P59" s="205">
        <f>ROUND(O59/'справка № 1ДФ-БАЛАНС'!$B$56*100,2)</f>
        <v>67.69</v>
      </c>
    </row>
    <row r="60" spans="1:16" s="19" customFormat="1" ht="15" customHeight="1">
      <c r="A60" s="71" t="s">
        <v>292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10"/>
      <c r="P60" s="205">
        <f>ROUND(O60/'справка № 1ДФ-БАЛАНС'!$B$56*100,2)</f>
        <v>0</v>
      </c>
    </row>
    <row r="61" spans="1:16" s="58" customFormat="1" ht="12.75">
      <c r="A61" s="175"/>
      <c r="B61" s="17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11"/>
      <c r="P61" s="205">
        <f>ROUND(O61/'справка № 1ДФ-БАЛАНС'!$B$56*100,2)</f>
        <v>0</v>
      </c>
    </row>
    <row r="62" spans="1:16" s="58" customFormat="1" ht="12.75">
      <c r="A62" s="111" t="s">
        <v>212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11"/>
      <c r="P62" s="205">
        <f>ROUND(O62/'справка № 1ДФ-БАЛАНС'!$B$56*100,2)</f>
        <v>0</v>
      </c>
    </row>
    <row r="63" spans="1:16" s="19" customFormat="1" ht="15" customHeight="1">
      <c r="A63" s="86" t="s">
        <v>288</v>
      </c>
      <c r="B63" s="86"/>
      <c r="C63" s="86" t="s">
        <v>156</v>
      </c>
      <c r="D63" s="86" t="s">
        <v>156</v>
      </c>
      <c r="E63" s="86"/>
      <c r="F63" s="86" t="s">
        <v>156</v>
      </c>
      <c r="G63" s="86"/>
      <c r="H63" s="86"/>
      <c r="I63" s="86"/>
      <c r="J63" s="86" t="s">
        <v>156</v>
      </c>
      <c r="K63" s="86" t="s">
        <v>156</v>
      </c>
      <c r="L63" s="86"/>
      <c r="M63" s="86"/>
      <c r="N63" s="86" t="s">
        <v>156</v>
      </c>
      <c r="O63" s="110">
        <v>0</v>
      </c>
      <c r="P63" s="205">
        <f>ROUND(O63/'справка № 1ДФ-БАЛАНС'!$B$56*100,2)</f>
        <v>0</v>
      </c>
    </row>
    <row r="64" spans="1:16" s="19" customFormat="1" ht="14.25" customHeight="1">
      <c r="A64" s="86" t="s">
        <v>289</v>
      </c>
      <c r="B64" s="86"/>
      <c r="C64" s="86" t="s">
        <v>156</v>
      </c>
      <c r="D64" s="86" t="s">
        <v>156</v>
      </c>
      <c r="E64" s="86"/>
      <c r="F64" s="86" t="s">
        <v>156</v>
      </c>
      <c r="G64" s="86"/>
      <c r="H64" s="86"/>
      <c r="I64" s="86"/>
      <c r="J64" s="86" t="s">
        <v>156</v>
      </c>
      <c r="K64" s="86" t="s">
        <v>156</v>
      </c>
      <c r="L64" s="86"/>
      <c r="M64" s="86"/>
      <c r="N64" s="86" t="s">
        <v>156</v>
      </c>
      <c r="O64" s="110">
        <v>0</v>
      </c>
      <c r="P64" s="205">
        <f>ROUND(O64/'справка № 1ДФ-БАЛАНС'!$B$56*100,2)</f>
        <v>0</v>
      </c>
    </row>
    <row r="65" spans="1:16" s="58" customFormat="1" ht="16.5" customHeight="1">
      <c r="A65" s="86" t="s">
        <v>192</v>
      </c>
      <c r="B65" s="86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11"/>
      <c r="P65" s="205">
        <f>ROUND(O65/'справка № 1ДФ-БАЛАНС'!$B$56*100,2)</f>
        <v>0</v>
      </c>
    </row>
    <row r="66" spans="1:16" s="58" customFormat="1" ht="14.25" customHeight="1">
      <c r="A66" s="86" t="s">
        <v>193</v>
      </c>
      <c r="B66" s="86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11"/>
      <c r="P66" s="205">
        <f>ROUND(O66/'справка № 1ДФ-БАЛАНС'!$B$56*100,2)</f>
        <v>0</v>
      </c>
    </row>
    <row r="67" spans="1:16" s="58" customFormat="1" ht="9.75" customHeight="1">
      <c r="A67" s="86"/>
      <c r="B67" s="86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11"/>
      <c r="P67" s="205">
        <f>ROUND(O67/'справка № 1ДФ-БАЛАНС'!$B$56*100,2)</f>
        <v>0</v>
      </c>
    </row>
    <row r="68" spans="1:16" s="58" customFormat="1" ht="15.75" customHeight="1">
      <c r="A68" s="86" t="s">
        <v>194</v>
      </c>
      <c r="B68" s="86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11"/>
      <c r="P68" s="205">
        <f>ROUND(O68/'справка № 1ДФ-БАЛАНС'!$B$56*100,2)</f>
        <v>0</v>
      </c>
    </row>
    <row r="69" spans="1:16" s="58" customFormat="1" ht="14.25" customHeight="1">
      <c r="A69" s="86" t="s">
        <v>195</v>
      </c>
      <c r="B69" s="86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11"/>
      <c r="P69" s="205">
        <f>ROUND(O69/'справка № 1ДФ-БАЛАНС'!$B$56*100,2)</f>
        <v>0</v>
      </c>
    </row>
    <row r="70" spans="1:16" s="58" customFormat="1" ht="12.75">
      <c r="A70" s="111" t="s">
        <v>213</v>
      </c>
      <c r="B70" s="17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11"/>
      <c r="P70" s="205">
        <f>ROUND(O70/'справка № 1ДФ-БАЛАНС'!$B$56*100,2)</f>
        <v>0</v>
      </c>
    </row>
    <row r="71" spans="1:16" s="19" customFormat="1" ht="13.5" customHeight="1">
      <c r="A71" s="86" t="s">
        <v>352</v>
      </c>
      <c r="B71" s="86"/>
      <c r="C71" s="86" t="s">
        <v>156</v>
      </c>
      <c r="D71" s="86" t="s">
        <v>156</v>
      </c>
      <c r="E71" s="86"/>
      <c r="F71" s="86" t="s">
        <v>156</v>
      </c>
      <c r="G71" s="86"/>
      <c r="H71" s="86"/>
      <c r="I71" s="86"/>
      <c r="J71" s="86" t="s">
        <v>156</v>
      </c>
      <c r="K71" s="86" t="s">
        <v>156</v>
      </c>
      <c r="L71" s="86"/>
      <c r="M71" s="86"/>
      <c r="N71" s="86" t="s">
        <v>156</v>
      </c>
      <c r="O71" s="110">
        <v>0</v>
      </c>
      <c r="P71" s="205">
        <f>ROUND(O71/'справка № 1ДФ-БАЛАНС'!$B$56*100,2)</f>
        <v>0</v>
      </c>
    </row>
    <row r="72" spans="1:16" s="19" customFormat="1" ht="12.75">
      <c r="A72" s="111" t="s">
        <v>293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110"/>
      <c r="P72" s="205">
        <f>ROUND(O72/'справка № 1ДФ-БАЛАНС'!$B$56*100,2)</f>
        <v>0</v>
      </c>
    </row>
    <row r="73" spans="1:16" s="19" customFormat="1" ht="12.75">
      <c r="A73" s="30" t="s">
        <v>230</v>
      </c>
      <c r="B73" s="86"/>
      <c r="C73" s="86" t="s">
        <v>156</v>
      </c>
      <c r="D73" s="86" t="s">
        <v>156</v>
      </c>
      <c r="E73" s="86"/>
      <c r="F73" s="86" t="s">
        <v>156</v>
      </c>
      <c r="G73" s="86"/>
      <c r="H73" s="86"/>
      <c r="I73" s="86"/>
      <c r="J73" s="86" t="s">
        <v>156</v>
      </c>
      <c r="K73" s="86" t="s">
        <v>156</v>
      </c>
      <c r="L73" s="86"/>
      <c r="M73" s="86"/>
      <c r="N73" s="86" t="s">
        <v>156</v>
      </c>
      <c r="O73" s="110">
        <v>0</v>
      </c>
      <c r="P73" s="205">
        <f>ROUND(O73/'справка № 1ДФ-БАЛАНС'!$B$56*100,2)</f>
        <v>0</v>
      </c>
    </row>
    <row r="74" spans="1:16" s="19" customFormat="1" ht="12.75">
      <c r="A74" s="111" t="s">
        <v>295</v>
      </c>
      <c r="B74" s="86"/>
      <c r="C74" s="86"/>
      <c r="D74" s="86"/>
      <c r="E74" s="86"/>
      <c r="F74" s="86"/>
      <c r="G74" s="86"/>
      <c r="H74" s="86"/>
      <c r="I74" s="105"/>
      <c r="J74" s="200">
        <f>J34+J50+J58</f>
        <v>534428.8200000001</v>
      </c>
      <c r="K74" s="200">
        <f>K34+K50+K58</f>
        <v>129210.5</v>
      </c>
      <c r="L74" s="200">
        <f>L34+L50+L58</f>
        <v>131551.75</v>
      </c>
      <c r="M74" s="200">
        <f>M34+M50+M58</f>
        <v>400.72</v>
      </c>
      <c r="N74" s="200">
        <f>N34+N50+N58</f>
        <v>352.73</v>
      </c>
      <c r="O74" s="200">
        <f>O34+O50+O58</f>
        <v>532266.0900000001</v>
      </c>
      <c r="P74" s="205">
        <f>ROUND(O74/'справка № 1ДФ-БАЛАНС'!$B$56*100,2)</f>
        <v>67.69</v>
      </c>
    </row>
    <row r="75" spans="1:16" s="19" customFormat="1" ht="12.75">
      <c r="A75" s="129"/>
      <c r="B75" s="50"/>
      <c r="C75" s="50"/>
      <c r="D75" s="50"/>
      <c r="E75" s="50"/>
      <c r="F75" s="50"/>
      <c r="G75" s="50"/>
      <c r="H75" s="50"/>
      <c r="I75" s="53"/>
      <c r="J75" s="358"/>
      <c r="K75" s="358"/>
      <c r="L75" s="358"/>
      <c r="M75" s="358"/>
      <c r="N75" s="358"/>
      <c r="O75" s="358"/>
      <c r="P75" s="359"/>
    </row>
    <row r="76" spans="1:16" s="19" customFormat="1" ht="12.75">
      <c r="A76" s="231" t="str">
        <f>'справка № 1ДФ-БАЛАНС'!A62</f>
        <v>Дата: 31.01.2008</v>
      </c>
      <c r="B76" s="314"/>
      <c r="C76" s="314"/>
      <c r="D76" s="8"/>
      <c r="E76" s="8"/>
      <c r="F76" s="8"/>
      <c r="G76" s="314" t="s">
        <v>356</v>
      </c>
      <c r="H76" s="314"/>
      <c r="I76" s="8"/>
      <c r="J76" s="8"/>
      <c r="K76" s="8"/>
      <c r="L76" s="8"/>
      <c r="M76" s="323" t="s">
        <v>413</v>
      </c>
      <c r="N76" s="323"/>
      <c r="O76" s="8"/>
      <c r="P76" s="8"/>
    </row>
    <row r="77" spans="1:16" s="19" customFormat="1" ht="12.75">
      <c r="A77" s="7"/>
      <c r="B77" s="7"/>
      <c r="C77" s="48"/>
      <c r="D77" s="48"/>
      <c r="E77" s="7"/>
      <c r="F77" s="7"/>
      <c r="G77" s="7"/>
      <c r="H77" s="48" t="s">
        <v>394</v>
      </c>
      <c r="I77" s="48"/>
      <c r="J77" s="7"/>
      <c r="K77" s="7"/>
      <c r="L77" s="7"/>
      <c r="M77" s="7"/>
      <c r="N77" s="313" t="s">
        <v>391</v>
      </c>
      <c r="O77" s="313"/>
      <c r="P77" s="313"/>
    </row>
    <row r="78" spans="1:16" s="19" customFormat="1" ht="12.75">
      <c r="A78" s="129"/>
      <c r="B78" s="50"/>
      <c r="C78" s="50"/>
      <c r="D78" s="50"/>
      <c r="E78" s="50"/>
      <c r="F78" s="50"/>
      <c r="G78" s="50"/>
      <c r="H78" s="50"/>
      <c r="I78" s="53"/>
      <c r="J78" s="358"/>
      <c r="K78" s="358"/>
      <c r="L78" s="358"/>
      <c r="M78" s="323" t="s">
        <v>413</v>
      </c>
      <c r="N78" s="323"/>
      <c r="O78" s="7"/>
      <c r="P78" s="7"/>
    </row>
    <row r="79" spans="13:16" s="8" customFormat="1" ht="12.75">
      <c r="M79" s="48"/>
      <c r="N79" s="7"/>
      <c r="O79" s="94" t="s">
        <v>412</v>
      </c>
      <c r="P79" s="7"/>
    </row>
    <row r="80" spans="11:13" ht="13.5" customHeight="1">
      <c r="K80" s="7"/>
      <c r="L80" s="7"/>
      <c r="M80" s="7"/>
    </row>
    <row r="81" ht="12.75">
      <c r="M81" s="7"/>
    </row>
    <row r="82" ht="12.75">
      <c r="M82" s="7"/>
    </row>
  </sheetData>
  <mergeCells count="26">
    <mergeCell ref="B76:C76"/>
    <mergeCell ref="G76:H76"/>
    <mergeCell ref="M76:N76"/>
    <mergeCell ref="Q7:Q11"/>
    <mergeCell ref="J8:J11"/>
    <mergeCell ref="B7:I7"/>
    <mergeCell ref="J7:O7"/>
    <mergeCell ref="F8:F11"/>
    <mergeCell ref="C8:C11"/>
    <mergeCell ref="D8:D11"/>
    <mergeCell ref="E8:E11"/>
    <mergeCell ref="K9:L10"/>
    <mergeCell ref="M9:N10"/>
    <mergeCell ref="A7:A11"/>
    <mergeCell ref="B8:B11"/>
    <mergeCell ref="H8:H11"/>
    <mergeCell ref="G8:G11"/>
    <mergeCell ref="M78:N78"/>
    <mergeCell ref="M1:P1"/>
    <mergeCell ref="G3:I3"/>
    <mergeCell ref="P7:P11"/>
    <mergeCell ref="O8:O11"/>
    <mergeCell ref="I8:I11"/>
    <mergeCell ref="K8:N8"/>
    <mergeCell ref="M5:P5"/>
    <mergeCell ref="N77:P77"/>
  </mergeCells>
  <printOptions/>
  <pageMargins left="0.5905511811023623" right="0.17" top="0" bottom="0.17" header="0.17" footer="0.1574803149606299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4">
      <selection activeCell="A37" sqref="A37"/>
    </sheetView>
  </sheetViews>
  <sheetFormatPr defaultColWidth="9.140625" defaultRowHeight="12.75"/>
  <cols>
    <col min="1" max="1" width="35.8515625" style="183" customWidth="1"/>
    <col min="2" max="2" width="23.421875" style="183" customWidth="1"/>
    <col min="3" max="3" width="17.8515625" style="183" customWidth="1"/>
    <col min="4" max="4" width="17.140625" style="183" customWidth="1"/>
    <col min="5" max="6" width="9.140625" style="183" customWidth="1"/>
    <col min="7" max="7" width="12.140625" style="183" bestFit="1" customWidth="1"/>
    <col min="8" max="16384" width="9.140625" style="183" customWidth="1"/>
  </cols>
  <sheetData>
    <row r="1" spans="2:4" ht="24" customHeight="1">
      <c r="B1" s="184"/>
      <c r="C1" s="184"/>
      <c r="D1" s="202"/>
    </row>
    <row r="2" spans="1:4" ht="12.75">
      <c r="A2" s="185"/>
      <c r="B2" s="184"/>
      <c r="C2" s="352" t="s">
        <v>376</v>
      </c>
      <c r="D2" s="289"/>
    </row>
    <row r="3" spans="1:4" ht="12.75">
      <c r="A3" s="185"/>
      <c r="B3" s="184"/>
      <c r="C3" s="186"/>
      <c r="D3" s="187"/>
    </row>
    <row r="4" spans="1:4" ht="12.75" customHeight="1">
      <c r="A4" s="354" t="s">
        <v>183</v>
      </c>
      <c r="B4" s="354"/>
      <c r="C4" s="354"/>
      <c r="D4" s="354"/>
    </row>
    <row r="5" spans="1:4" ht="14.25">
      <c r="A5" s="349" t="s">
        <v>306</v>
      </c>
      <c r="B5" s="349"/>
      <c r="C5" s="350"/>
      <c r="D5" s="351"/>
    </row>
    <row r="6" spans="1:4" ht="14.25">
      <c r="A6" s="95"/>
      <c r="B6" s="95"/>
      <c r="C6" s="77"/>
      <c r="D6" s="179"/>
    </row>
    <row r="7" spans="1:4" ht="15.75" customHeight="1">
      <c r="A7" s="348"/>
      <c r="B7" s="348"/>
      <c r="C7" s="353"/>
      <c r="D7" s="353"/>
    </row>
    <row r="8" spans="1:4" ht="13.5" customHeight="1">
      <c r="A8" s="346" t="str">
        <f>'справка № 1ДФ-БАЛАНС'!A6:B6</f>
        <v>ДФ "КД ОБЛИГАЦИИ БЪЛГАРИЯ"</v>
      </c>
      <c r="B8" s="346"/>
      <c r="C8" s="330" t="s">
        <v>362</v>
      </c>
      <c r="D8" s="330"/>
    </row>
    <row r="9" spans="1:4" ht="12.75">
      <c r="A9" s="258" t="str">
        <f>'справка № 1ДФ-БАЛАНС'!A7</f>
        <v>Отчетен период: 01.01.2007 - 31.12.2007</v>
      </c>
      <c r="B9" s="7"/>
      <c r="C9" s="7"/>
      <c r="D9" s="62" t="s">
        <v>126</v>
      </c>
    </row>
    <row r="10" spans="1:4" ht="27.75" customHeight="1">
      <c r="A10" s="300" t="s">
        <v>231</v>
      </c>
      <c r="B10" s="326" t="s">
        <v>232</v>
      </c>
      <c r="C10" s="326"/>
      <c r="D10" s="326" t="s">
        <v>233</v>
      </c>
    </row>
    <row r="11" spans="1:4" ht="38.25" customHeight="1">
      <c r="A11" s="347"/>
      <c r="B11" s="96" t="s">
        <v>234</v>
      </c>
      <c r="C11" s="96" t="s">
        <v>235</v>
      </c>
      <c r="D11" s="326"/>
    </row>
    <row r="12" spans="1:4" ht="12.75">
      <c r="A12" s="188" t="s">
        <v>6</v>
      </c>
      <c r="B12" s="104">
        <v>1</v>
      </c>
      <c r="C12" s="104">
        <v>3</v>
      </c>
      <c r="D12" s="104">
        <v>4</v>
      </c>
    </row>
    <row r="13" spans="1:4" ht="12.75">
      <c r="A13" s="177" t="s">
        <v>297</v>
      </c>
      <c r="B13" s="86" t="s">
        <v>156</v>
      </c>
      <c r="C13" s="86"/>
      <c r="D13" s="86" t="s">
        <v>156</v>
      </c>
    </row>
    <row r="14" spans="1:4" ht="12.75">
      <c r="A14" s="112" t="s">
        <v>298</v>
      </c>
      <c r="B14" s="110"/>
      <c r="C14" s="110"/>
      <c r="D14" s="86" t="s">
        <v>156</v>
      </c>
    </row>
    <row r="15" spans="1:4" ht="12.75">
      <c r="A15" s="176" t="s">
        <v>302</v>
      </c>
      <c r="B15" s="110"/>
      <c r="C15" s="200">
        <v>0</v>
      </c>
      <c r="D15" s="86"/>
    </row>
    <row r="16" spans="1:4" ht="12.75">
      <c r="A16" s="112" t="s">
        <v>299</v>
      </c>
      <c r="B16" s="110"/>
      <c r="C16" s="110"/>
      <c r="D16" s="86" t="s">
        <v>156</v>
      </c>
    </row>
    <row r="17" spans="1:7" ht="14.25" customHeight="1">
      <c r="A17" s="86" t="s">
        <v>368</v>
      </c>
      <c r="B17" s="110">
        <v>3000</v>
      </c>
      <c r="C17" s="204">
        <v>34020</v>
      </c>
      <c r="D17" s="286">
        <v>0.00011426812787670013</v>
      </c>
      <c r="E17" s="209"/>
      <c r="F17" s="284">
        <v>26254040</v>
      </c>
      <c r="G17" s="285">
        <f>B17/F17</f>
        <v>0.00011426812787670013</v>
      </c>
    </row>
    <row r="18" spans="1:7" ht="12.75">
      <c r="A18" s="86" t="s">
        <v>393</v>
      </c>
      <c r="B18" s="110">
        <v>1548</v>
      </c>
      <c r="C18" s="204">
        <v>47306.88</v>
      </c>
      <c r="D18" s="286">
        <v>7.938461538461539E-05</v>
      </c>
      <c r="F18" s="284">
        <v>19500000</v>
      </c>
      <c r="G18" s="285">
        <f>B18/F18</f>
        <v>7.938461538461539E-05</v>
      </c>
    </row>
    <row r="19" spans="1:7" ht="12.75">
      <c r="A19" s="86" t="s">
        <v>395</v>
      </c>
      <c r="B19" s="110">
        <v>623</v>
      </c>
      <c r="C19" s="204">
        <v>18141.76</v>
      </c>
      <c r="D19" s="286">
        <v>0.00011501193779607959</v>
      </c>
      <c r="F19" s="284">
        <v>5416829</v>
      </c>
      <c r="G19" s="285">
        <f>B19/F19</f>
        <v>0.00011501193779607959</v>
      </c>
    </row>
    <row r="20" spans="1:7" ht="12.75">
      <c r="A20" s="86" t="s">
        <v>400</v>
      </c>
      <c r="B20" s="110">
        <v>400</v>
      </c>
      <c r="C20" s="204">
        <v>38412</v>
      </c>
      <c r="D20" s="286">
        <v>6.666666666666667E-06</v>
      </c>
      <c r="F20" s="284">
        <v>60000000</v>
      </c>
      <c r="G20" s="285">
        <f>B20/F20</f>
        <v>6.666666666666667E-06</v>
      </c>
    </row>
    <row r="21" spans="1:7" ht="25.5">
      <c r="A21" s="86" t="s">
        <v>407</v>
      </c>
      <c r="B21" s="110">
        <v>3000</v>
      </c>
      <c r="C21" s="204">
        <v>14040</v>
      </c>
      <c r="D21" s="286">
        <v>0.00011426812787670013</v>
      </c>
      <c r="F21" s="284">
        <v>26254040</v>
      </c>
      <c r="G21" s="285">
        <f>B21/F21</f>
        <v>0.00011426812787670013</v>
      </c>
    </row>
    <row r="22" spans="1:4" ht="12.75">
      <c r="A22" s="176" t="s">
        <v>304</v>
      </c>
      <c r="B22" s="110"/>
      <c r="C22" s="200">
        <f>SUM(C17:C21)</f>
        <v>151920.64</v>
      </c>
      <c r="D22" s="245"/>
    </row>
    <row r="23" spans="1:4" ht="14.25" customHeight="1">
      <c r="A23" s="176" t="s">
        <v>300</v>
      </c>
      <c r="B23" s="110"/>
      <c r="C23" s="200">
        <f>C15+C22</f>
        <v>151920.64</v>
      </c>
      <c r="D23" s="189" t="s">
        <v>156</v>
      </c>
    </row>
    <row r="24" spans="1:4" ht="12.75">
      <c r="A24" s="112"/>
      <c r="B24" s="86"/>
      <c r="C24" s="86"/>
      <c r="D24" s="110" t="s">
        <v>156</v>
      </c>
    </row>
    <row r="25" spans="1:4" ht="12.75">
      <c r="A25" s="177" t="s">
        <v>301</v>
      </c>
      <c r="B25" s="86" t="s">
        <v>156</v>
      </c>
      <c r="C25" s="86"/>
      <c r="D25" s="110" t="s">
        <v>156</v>
      </c>
    </row>
    <row r="26" spans="1:4" ht="12.75">
      <c r="A26" s="112" t="s">
        <v>298</v>
      </c>
      <c r="B26" s="110"/>
      <c r="C26" s="110"/>
      <c r="D26" s="189"/>
    </row>
    <row r="27" spans="1:4" ht="12.75">
      <c r="A27" s="176" t="s">
        <v>302</v>
      </c>
      <c r="B27" s="110"/>
      <c r="C27" s="110"/>
      <c r="D27" s="110"/>
    </row>
    <row r="28" spans="1:4" ht="12.75">
      <c r="A28" s="112" t="s">
        <v>303</v>
      </c>
      <c r="B28" s="110"/>
      <c r="C28" s="110"/>
      <c r="D28" s="189"/>
    </row>
    <row r="29" spans="1:4" ht="12.75">
      <c r="A29" s="176" t="s">
        <v>304</v>
      </c>
      <c r="B29" s="110"/>
      <c r="C29" s="200">
        <v>0</v>
      </c>
      <c r="D29" s="86"/>
    </row>
    <row r="30" spans="1:4" ht="15.75" customHeight="1">
      <c r="A30" s="176" t="s">
        <v>305</v>
      </c>
      <c r="B30" s="110"/>
      <c r="C30" s="200">
        <f>C29</f>
        <v>0</v>
      </c>
      <c r="D30" s="86"/>
    </row>
    <row r="31" spans="1:4" ht="12.75">
      <c r="A31" s="190"/>
      <c r="B31" s="50"/>
      <c r="C31" s="50"/>
      <c r="D31" s="50"/>
    </row>
    <row r="32" spans="1:4" ht="11.25" customHeight="1">
      <c r="A32" s="190"/>
      <c r="B32" s="345"/>
      <c r="C32" s="345"/>
      <c r="D32" s="7"/>
    </row>
    <row r="33" spans="1:4" ht="11.25" customHeight="1">
      <c r="A33" s="190"/>
      <c r="B33" s="235"/>
      <c r="C33" s="235"/>
      <c r="D33" s="7"/>
    </row>
    <row r="34" spans="1:4" ht="11.25" customHeight="1">
      <c r="A34" s="190"/>
      <c r="B34" s="235"/>
      <c r="C34" s="235"/>
      <c r="D34" s="7"/>
    </row>
    <row r="35" spans="1:4" ht="11.25" customHeight="1">
      <c r="A35" s="190"/>
      <c r="B35" s="235"/>
      <c r="C35" s="235"/>
      <c r="D35" s="7"/>
    </row>
    <row r="36" spans="1:4" ht="11.25" customHeight="1">
      <c r="A36" s="190"/>
      <c r="B36" s="235"/>
      <c r="C36" s="235"/>
      <c r="D36" s="7"/>
    </row>
    <row r="37" spans="1:4" s="8" customFormat="1" ht="12.75">
      <c r="A37" s="231" t="str">
        <f>'справка № 1ДФ-БАЛАНС'!A62</f>
        <v>Дата: 31.01.2008</v>
      </c>
      <c r="B37" s="94" t="s">
        <v>356</v>
      </c>
      <c r="C37" s="81" t="s">
        <v>411</v>
      </c>
      <c r="D37" s="94"/>
    </row>
    <row r="38" spans="2:4" s="7" customFormat="1" ht="12.75">
      <c r="B38" s="62" t="s">
        <v>394</v>
      </c>
      <c r="C38" s="313" t="s">
        <v>391</v>
      </c>
      <c r="D38" s="313"/>
    </row>
    <row r="39" spans="3:4" ht="12.75">
      <c r="C39"/>
      <c r="D39"/>
    </row>
    <row r="40" spans="3:4" ht="12.75">
      <c r="C40" s="81" t="s">
        <v>411</v>
      </c>
      <c r="D40" s="94"/>
    </row>
    <row r="41" spans="3:4" ht="12.75">
      <c r="C41" s="313" t="s">
        <v>412</v>
      </c>
      <c r="D41" s="313"/>
    </row>
  </sheetData>
  <mergeCells count="13">
    <mergeCell ref="A7:B7"/>
    <mergeCell ref="A5:D5"/>
    <mergeCell ref="C2:D2"/>
    <mergeCell ref="C7:D7"/>
    <mergeCell ref="A4:D4"/>
    <mergeCell ref="C38:D38"/>
    <mergeCell ref="C41:D41"/>
    <mergeCell ref="B32:C32"/>
    <mergeCell ref="C8:D8"/>
    <mergeCell ref="B10:C10"/>
    <mergeCell ref="D10:D11"/>
    <mergeCell ref="A8:B8"/>
    <mergeCell ref="A10:A11"/>
  </mergeCells>
  <printOptions/>
  <pageMargins left="0.5905511811023623" right="0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0">
      <selection activeCell="A37" sqref="A37"/>
    </sheetView>
  </sheetViews>
  <sheetFormatPr defaultColWidth="9.140625" defaultRowHeight="12" customHeight="1"/>
  <cols>
    <col min="1" max="1" width="43.57421875" style="7" customWidth="1"/>
    <col min="2" max="2" width="23.7109375" style="7" customWidth="1"/>
    <col min="3" max="3" width="25.7109375" style="7" customWidth="1"/>
    <col min="4" max="16384" width="9.140625" style="7" customWidth="1"/>
  </cols>
  <sheetData>
    <row r="1" ht="12" customHeight="1">
      <c r="C1" s="207" t="s">
        <v>377</v>
      </c>
    </row>
    <row r="2" spans="1:5" ht="14.25" customHeight="1">
      <c r="A2" s="107"/>
      <c r="B2" s="107"/>
      <c r="C2" s="48"/>
      <c r="D2" s="107"/>
      <c r="E2" s="107"/>
    </row>
    <row r="3" spans="1:5" ht="12" customHeight="1">
      <c r="A3" s="292" t="s">
        <v>308</v>
      </c>
      <c r="B3" s="292"/>
      <c r="C3" s="292"/>
      <c r="D3" s="48"/>
      <c r="E3" s="48"/>
    </row>
    <row r="4" spans="1:5" ht="12" customHeight="1">
      <c r="A4" s="298" t="s">
        <v>309</v>
      </c>
      <c r="B4" s="298"/>
      <c r="C4" s="298"/>
      <c r="D4" s="94"/>
      <c r="E4" s="94"/>
    </row>
    <row r="5" spans="1:5" ht="12" customHeight="1">
      <c r="A5" s="54"/>
      <c r="B5" s="54"/>
      <c r="C5" s="54"/>
      <c r="D5" s="94"/>
      <c r="E5" s="94"/>
    </row>
    <row r="6" spans="1:5" ht="12" customHeight="1">
      <c r="A6" s="54"/>
      <c r="B6" s="54"/>
      <c r="C6" s="54"/>
      <c r="D6" s="94"/>
      <c r="E6" s="94"/>
    </row>
    <row r="7" spans="1:5" ht="12" customHeight="1">
      <c r="A7" s="93" t="str">
        <f>'справка № 1ДФ-БАЛАНС'!A6:B6</f>
        <v>ДФ "КД ОБЛИГАЦИИ БЪЛГАРИЯ"</v>
      </c>
      <c r="B7" s="355" t="s">
        <v>362</v>
      </c>
      <c r="C7" s="355"/>
      <c r="D7" s="48"/>
      <c r="E7" s="48"/>
    </row>
    <row r="8" spans="1:4" ht="12" customHeight="1">
      <c r="A8" s="259" t="str">
        <f>'справка № 1ДФ-БАЛАНС'!A7</f>
        <v>Отчетен период: 01.01.2007 - 31.12.2007</v>
      </c>
      <c r="B8" s="94"/>
      <c r="C8" s="62" t="s">
        <v>126</v>
      </c>
      <c r="D8" s="48"/>
    </row>
    <row r="9" spans="1:5" ht="12" customHeight="1">
      <c r="A9" s="356" t="s">
        <v>158</v>
      </c>
      <c r="B9" s="295" t="s">
        <v>310</v>
      </c>
      <c r="C9" s="295"/>
      <c r="D9" s="94"/>
      <c r="E9" s="94"/>
    </row>
    <row r="10" spans="1:3" ht="26.25" customHeight="1">
      <c r="A10" s="357"/>
      <c r="B10" s="104" t="s">
        <v>311</v>
      </c>
      <c r="C10" s="104" t="s">
        <v>312</v>
      </c>
    </row>
    <row r="11" spans="1:3" ht="12" customHeight="1">
      <c r="A11" s="91" t="s">
        <v>6</v>
      </c>
      <c r="B11" s="91">
        <v>1</v>
      </c>
      <c r="C11" s="91">
        <v>2</v>
      </c>
    </row>
    <row r="12" spans="1:3" ht="12" customHeight="1">
      <c r="A12" s="105" t="s">
        <v>313</v>
      </c>
      <c r="B12" s="86"/>
      <c r="C12" s="86"/>
    </row>
    <row r="13" spans="1:5" ht="12" customHeight="1">
      <c r="A13" s="86" t="s">
        <v>314</v>
      </c>
      <c r="B13" s="204">
        <v>153.75</v>
      </c>
      <c r="C13" s="204">
        <v>37.93</v>
      </c>
      <c r="E13" s="194"/>
    </row>
    <row r="14" spans="1:7" ht="12" customHeight="1">
      <c r="A14" s="86" t="s">
        <v>315</v>
      </c>
      <c r="B14" s="204">
        <v>12482.28</v>
      </c>
      <c r="C14" s="204">
        <v>11038.72</v>
      </c>
      <c r="E14" s="194"/>
      <c r="G14" s="108"/>
    </row>
    <row r="15" spans="1:5" ht="12" customHeight="1">
      <c r="A15" s="86" t="s">
        <v>360</v>
      </c>
      <c r="B15" s="204">
        <v>31838.14</v>
      </c>
      <c r="C15" s="204">
        <v>14743.14</v>
      </c>
      <c r="E15" s="194"/>
    </row>
    <row r="16" spans="1:3" ht="12" customHeight="1">
      <c r="A16" s="86" t="s">
        <v>316</v>
      </c>
      <c r="B16" s="204"/>
      <c r="C16" s="204"/>
    </row>
    <row r="17" spans="1:3" ht="12" customHeight="1">
      <c r="A17" s="86" t="s">
        <v>317</v>
      </c>
      <c r="B17" s="204">
        <v>200</v>
      </c>
      <c r="C17" s="204">
        <v>100</v>
      </c>
    </row>
    <row r="18" spans="1:3" ht="12" customHeight="1">
      <c r="A18" s="111" t="s">
        <v>326</v>
      </c>
      <c r="B18" s="200">
        <f>SUM(B13:B17)</f>
        <v>44674.17</v>
      </c>
      <c r="C18" s="200">
        <f>SUM(C13:C17)</f>
        <v>25919.79</v>
      </c>
    </row>
    <row r="19" spans="1:3" ht="12" customHeight="1">
      <c r="A19" s="105" t="s">
        <v>325</v>
      </c>
      <c r="B19" s="86"/>
      <c r="C19" s="86"/>
    </row>
    <row r="20" spans="1:3" ht="12" customHeight="1">
      <c r="A20" s="86" t="s">
        <v>318</v>
      </c>
      <c r="B20" s="110"/>
      <c r="C20" s="110"/>
    </row>
    <row r="21" spans="1:3" ht="12" customHeight="1">
      <c r="A21" s="86" t="s">
        <v>319</v>
      </c>
      <c r="B21" s="110"/>
      <c r="C21" s="110"/>
    </row>
    <row r="22" spans="1:3" ht="12" customHeight="1">
      <c r="A22" s="86" t="s">
        <v>320</v>
      </c>
      <c r="B22" s="110"/>
      <c r="C22" s="110"/>
    </row>
    <row r="23" spans="1:3" ht="12" customHeight="1">
      <c r="A23" s="112" t="s">
        <v>321</v>
      </c>
      <c r="B23" s="110"/>
      <c r="C23" s="110"/>
    </row>
    <row r="24" spans="1:3" ht="12" customHeight="1">
      <c r="A24" s="112" t="s">
        <v>322</v>
      </c>
      <c r="B24" s="110"/>
      <c r="C24" s="110"/>
    </row>
    <row r="25" spans="1:3" ht="12" customHeight="1">
      <c r="A25" s="112" t="s">
        <v>323</v>
      </c>
      <c r="B25" s="110"/>
      <c r="C25" s="110"/>
    </row>
    <row r="26" spans="1:3" ht="12" customHeight="1">
      <c r="A26" s="86" t="s">
        <v>317</v>
      </c>
      <c r="B26" s="110"/>
      <c r="C26" s="110"/>
    </row>
    <row r="27" spans="1:3" ht="12" customHeight="1">
      <c r="A27" s="111" t="s">
        <v>324</v>
      </c>
      <c r="B27" s="110"/>
      <c r="C27" s="110"/>
    </row>
    <row r="28" spans="1:3" ht="12" customHeight="1">
      <c r="A28" s="129"/>
      <c r="B28" s="208"/>
      <c r="C28" s="208"/>
    </row>
    <row r="29" spans="1:3" ht="12" customHeight="1">
      <c r="A29" s="129"/>
      <c r="B29" s="208"/>
      <c r="C29" s="208"/>
    </row>
    <row r="30" spans="1:3" ht="12" customHeight="1">
      <c r="A30" s="129"/>
      <c r="B30" s="208"/>
      <c r="C30" s="208"/>
    </row>
    <row r="31" spans="1:4" ht="12" customHeight="1">
      <c r="A31" s="50"/>
      <c r="B31" s="50"/>
      <c r="C31" s="50"/>
      <c r="D31" s="51"/>
    </row>
    <row r="32" spans="1:5" s="8" customFormat="1" ht="12.75">
      <c r="A32" s="94" t="s">
        <v>356</v>
      </c>
      <c r="B32" s="81" t="s">
        <v>411</v>
      </c>
      <c r="C32" s="94"/>
      <c r="E32" s="81"/>
    </row>
    <row r="33" spans="1:6" ht="12.75">
      <c r="A33" s="94" t="s">
        <v>394</v>
      </c>
      <c r="B33" s="62" t="s">
        <v>391</v>
      </c>
      <c r="C33" s="62"/>
      <c r="F33" s="81"/>
    </row>
    <row r="34" spans="1:5" ht="12" customHeight="1">
      <c r="A34" s="51"/>
      <c r="B34" s="51"/>
      <c r="C34"/>
      <c r="D34"/>
      <c r="E34" s="51"/>
    </row>
    <row r="35" spans="1:5" ht="12" customHeight="1">
      <c r="A35" s="231" t="s">
        <v>406</v>
      </c>
      <c r="B35" s="81" t="s">
        <v>411</v>
      </c>
      <c r="C35" s="94"/>
      <c r="E35" s="51"/>
    </row>
    <row r="36" spans="2:5" ht="12" customHeight="1">
      <c r="B36" s="62" t="s">
        <v>412</v>
      </c>
      <c r="C36" s="62"/>
      <c r="E36" s="51"/>
    </row>
    <row r="37" spans="4:5" ht="12" customHeight="1">
      <c r="D37" s="51"/>
      <c r="E37" s="51"/>
    </row>
    <row r="38" spans="4:5" ht="12" customHeight="1">
      <c r="D38" s="51"/>
      <c r="E38" s="51"/>
    </row>
    <row r="39" spans="4:5" ht="12" customHeight="1">
      <c r="D39" s="51"/>
      <c r="E39" s="51"/>
    </row>
  </sheetData>
  <mergeCells count="5">
    <mergeCell ref="A9:A10"/>
    <mergeCell ref="A3:C3"/>
    <mergeCell ref="A4:C4"/>
    <mergeCell ref="B9:C9"/>
    <mergeCell ref="B7:C7"/>
  </mergeCells>
  <printOptions/>
  <pageMargins left="0.6889763779527559" right="0.5511811023622047" top="1.7716535433070868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silviad</cp:lastModifiedBy>
  <cp:lastPrinted>2008-01-30T09:36:54Z</cp:lastPrinted>
  <dcterms:created xsi:type="dcterms:W3CDTF">2004-03-04T10:58:58Z</dcterms:created>
  <dcterms:modified xsi:type="dcterms:W3CDTF">2008-01-30T09:38:03Z</dcterms:modified>
  <cp:category/>
  <cp:version/>
  <cp:contentType/>
  <cp:contentStatus/>
</cp:coreProperties>
</file>