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85" windowWidth="10800" windowHeight="38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<sst xmlns="http://schemas.openxmlformats.org/spreadsheetml/2006/main" count="1071" uniqueCount="879">
  <si>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</si>
  <si>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</si>
  <si>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</si>
  <si>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</si>
  <si>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</si>
  <si>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</si>
  <si>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</si>
  <si>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</si>
  <si>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</si>
  <si>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</si>
  <si>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</si>
  <si>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</si>
  <si>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</si>
  <si>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</si>
  <si>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</si>
  <si>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</si>
  <si>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</si>
  <si>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</si>
  <si>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</si>
  <si>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</si>
  <si>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</si>
  <si>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</si>
  <si>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</si>
  <si>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</si>
  <si>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</si>
  <si>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</si>
  <si>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</si>
  <si>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</si>
  <si>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</si>
  <si>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</si>
  <si>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</si>
  <si>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</si>
  <si>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</si>
  <si>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</si>
  <si>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</si>
  <si>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</si>
  <si>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</si>
  <si>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</si>
  <si>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</si>
  <si>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</si>
  <si>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</si>
  <si>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</si>
  <si>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</si>
  <si>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</si>
  <si>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</si>
  <si>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</si>
  <si>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</si>
  <si>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</si>
  <si>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</si>
  <si>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</si>
  <si>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</si>
  <si>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</si>
  <si>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</si>
  <si>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</si>
  <si>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</si>
  <si>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</si>
  <si>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</si>
  <si>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</si>
  <si>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</si>
  <si>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</si>
  <si>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</si>
  <si>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</si>
  <si>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</si>
  <si>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</si>
  <si>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</si>
  <si>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</si>
  <si>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</si>
  <si>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</si>
  <si>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</si>
  <si>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</si>
  <si>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</si>
  <si>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</si>
  <si>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</si>
  <si>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</si>
  <si>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</si>
  <si>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</si>
  <si>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</si>
  <si>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</si>
  <si>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</si>
  <si>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</si>
  <si>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</si>
  <si>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</si>
  <si>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</si>
  <si>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</si>
  <si>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</si>
  <si>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</si>
  <si>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</si>
  <si>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</si>
  <si>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</si>
  <si>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</si>
  <si>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</si>
  <si>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</si>
  <si>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</si>
  <si>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</si>
  <si>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</si>
  <si>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</si>
  <si>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</si>
  <si>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</si>
  <si>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</si>
  <si>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</si>
  <si>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</si>
  <si>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</si>
  <si>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</si>
  <si>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</si>
  <si>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</si>
  <si>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</si>
  <si>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</si>
  <si>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</si>
  <si>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</si>
  <si>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</si>
  <si>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</si>
  <si>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</si>
  <si>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</si>
  <si>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</si>
  <si>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</si>
  <si>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</si>
  <si>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</si>
  <si>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</si>
  <si>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</si>
  <si>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</si>
  <si>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</si>
  <si>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</si>
  <si>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</si>
  <si>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</si>
  <si>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</si>
  <si>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</si>
  <si>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</si>
  <si>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</si>
  <si>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</si>
  <si>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</si>
  <si>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</si>
  <si>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</si>
  <si>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</si>
  <si>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</si>
  <si>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</si>
  <si>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</si>
  <si>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</si>
  <si>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</si>
  <si>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</si>
  <si>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</si>
  <si>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</si>
  <si>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</si>
  <si>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</si>
  <si>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</si>
  <si>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</si>
  <si>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</si>
  <si>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</si>
  <si>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</si>
  <si>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</si>
  <si>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</si>
  <si>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</si>
  <si>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</si>
  <si>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</si>
  <si>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</si>
  <si>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</si>
  <si>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</si>
  <si>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</si>
  <si>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</si>
  <si>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</si>
  <si>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</si>
  <si>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</si>
  <si>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</si>
  <si>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</si>
  <si>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</si>
  <si>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</si>
  <si>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</si>
  <si>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</si>
  <si>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</si>
  <si>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</si>
  <si>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</si>
  <si>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</si>
  <si>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</si>
  <si>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</si>
  <si>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</si>
  <si>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</si>
  <si>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</si>
  <si>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</si>
  <si>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</si>
  <si>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</si>
  <si>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</si>
  <si>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</si>
  <si>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</si>
  <si>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</si>
  <si>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</si>
  <si>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</si>
  <si>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</si>
  <si>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</si>
  <si>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</si>
  <si>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</si>
  <si>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</si>
  <si>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</si>
  <si>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</si>
  <si>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</si>
  <si>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</si>
  <si>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</si>
  <si>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</si>
  <si>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</si>
  <si>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</si>
  <si>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</si>
  <si>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</si>
  <si>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</si>
  <si>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</si>
  <si>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</si>
  <si>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</si>
  <si>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</si>
  <si>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</si>
  <si>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</si>
  <si>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</si>
  <si>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</si>
  <si>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</si>
  <si>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</si>
  <si>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</si>
  <si>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</si>
  <si>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</si>
  <si>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</si>
  <si>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</si>
  <si>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</si>
  <si>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</si>
  <si>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</si>
  <si>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</si>
  <si>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</si>
  <si>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</si>
  <si>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</si>
  <si>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</si>
  <si>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</si>
  <si>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</si>
  <si>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</si>
  <si>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</si>
  <si>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</si>
  <si>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</si>
  <si>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</si>
  <si>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</si>
  <si>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</si>
  <si>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</si>
  <si>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</si>
  <si>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</si>
  <si>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</si>
  <si>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</si>
  <si>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</si>
  <si>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</si>
  <si>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</si>
  <si>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</si>
  <si>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</si>
  <si>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</si>
  <si>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</si>
  <si>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</si>
  <si>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</si>
  <si>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</si>
  <si>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</si>
  <si>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</si>
  <si>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</si>
  <si>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</si>
  <si>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</si>
  <si>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</si>
  <si>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</si>
  <si>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</si>
  <si>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</si>
  <si>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</si>
  <si>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</si>
  <si>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</si>
  <si>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</si>
  <si>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</si>
  <si>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</si>
  <si>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</si>
  <si>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</si>
  <si>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</si>
  <si>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</si>
  <si>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</si>
  <si>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</si>
  <si>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</si>
  <si>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</si>
  <si>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</si>
  <si>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</si>
  <si>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</si>
  <si>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</si>
  <si>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</si>
  <si>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</si>
  <si>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</si>
  <si>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</si>
  <si>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</si>
  <si>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</si>
  <si>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</si>
  <si>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</si>
  <si>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</si>
  <si>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</si>
  <si>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</si>
  <si>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</si>
  <si>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</si>
  <si>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</si>
  <si>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</si>
  <si>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</si>
  <si>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</si>
  <si>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</si>
  <si>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</si>
  <si>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</si>
  <si>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</si>
  <si>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</si>
  <si>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</si>
  <si>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</si>
  <si>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</si>
  <si>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</si>
  <si>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</si>
  <si>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</si>
  <si>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</si>
  <si>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</si>
  <si>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</si>
  <si>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</si>
  <si>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</si>
  <si>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</si>
  <si>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</si>
  <si>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</si>
  <si>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</si>
  <si>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</si>
  <si>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</si>
  <si>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</si>
  <si>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</si>
  <si>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</si>
  <si>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</si>
  <si>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</si>
  <si>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</si>
  <si>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</si>
  <si>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</si>
  <si>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</si>
  <si>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</si>
  <si>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</si>
  <si>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</si>
  <si>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</si>
  <si>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</si>
  <si>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</si>
  <si>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</si>
  <si>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</si>
  <si>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</si>
  <si>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</si>
  <si>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</si>
  <si>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</si>
  <si>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</si>
  <si>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</si>
  <si>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</si>
  <si>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</si>
  <si>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</si>
  <si>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</si>
  <si>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</si>
  <si>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</si>
  <si>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</si>
  <si>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</si>
  <si>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</si>
  <si>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</si>
  <si>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</si>
  <si>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</si>
  <si>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</si>
  <si>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</si>
  <si>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</si>
  <si>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</si>
  <si>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</si>
  <si>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</si>
  <si>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</si>
  <si>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</si>
  <si>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</si>
  <si>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</si>
  <si>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</si>
  <si>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</si>
  <si>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</si>
  <si>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</si>
  <si>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</si>
  <si>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</si>
  <si>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</si>
  <si>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</si>
  <si>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</si>
  <si>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</si>
  <si>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</si>
  <si>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</si>
  <si>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</si>
  <si>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</si>
  <si>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</si>
  <si>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</si>
  <si>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</si>
  <si>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</si>
  <si>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</si>
  <si>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</si>
  <si>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</si>
  <si>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</si>
  <si>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</si>
  <si>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</si>
  <si>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</si>
  <si>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</si>
  <si>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</si>
  <si>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</si>
  <si>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</si>
  <si>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</si>
  <si>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</si>
  <si>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</si>
  <si>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</si>
  <si>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</si>
  <si>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</si>
  <si>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</si>
  <si>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</si>
  <si>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</si>
  <si>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</si>
  <si>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</si>
  <si>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</si>
  <si>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</si>
  <si>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</si>
  <si>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</si>
  <si>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</si>
  <si>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</si>
  <si>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</si>
  <si>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</si>
  <si>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</si>
  <si>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</si>
  <si>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</si>
  <si>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</si>
  <si>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</si>
  <si>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</si>
  <si>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</si>
  <si>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</si>
  <si>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</si>
  <si>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</si>
  <si>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</si>
  <si>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</si>
  <si>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</si>
  <si>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</si>
  <si>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</si>
  <si>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</si>
  <si>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</si>
  <si>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</si>
  <si>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</si>
  <si>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</si>
  <si>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</si>
  <si>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</si>
  <si>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</si>
  <si>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</si>
  <si>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</si>
  <si>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</si>
  <si>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</si>
  <si>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</si>
  <si>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</si>
  <si>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</si>
  <si>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</si>
  <si>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</si>
  <si>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</si>
  <si>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</si>
  <si>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</si>
  <si>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</si>
  <si>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</si>
  <si>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</si>
  <si>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</si>
  <si>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</si>
  <si>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</si>
  <si>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</si>
  <si>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</si>
  <si>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</si>
  <si>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</si>
  <si>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</si>
  <si>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</si>
  <si>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</si>
  <si>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</si>
  <si>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</si>
  <si>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</si>
  <si>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</si>
  <si>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</si>
  <si>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</si>
  <si>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</si>
  <si>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</si>
  <si>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</si>
  <si>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</si>
  <si>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</si>
  <si>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</si>
  <si>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</si>
  <si>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</si>
  <si>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</si>
  <si>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</si>
  <si>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</si>
  <si>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</si>
  <si>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</si>
  <si>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</si>
  <si>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</si>
  <si>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</si>
  <si>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</si>
  <si>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</si>
  <si>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</si>
  <si>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</si>
  <si>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</si>
  <si>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</si>
  <si>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</si>
  <si>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</si>
  <si>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</si>
  <si>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</si>
  <si>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</si>
  <si>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</si>
  <si>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</si>
  <si>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</si>
  <si>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</si>
  <si>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</si>
  <si>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</si>
  <si>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</si>
  <si>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</si>
  <si>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</si>
  <si>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</si>
  <si>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</si>
  <si>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</si>
  <si>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</si>
  <si>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</si>
  <si>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</si>
  <si>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</si>
  <si>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</si>
  <si>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</si>
  <si>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</si>
  <si>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</si>
  <si>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</si>
  <si>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</si>
  <si>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</si>
  <si>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</si>
  <si>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</si>
  <si>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</si>
  <si>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</si>
  <si>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</si>
  <si>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</si>
  <si>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</si>
  <si>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</si>
  <si>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</si>
  <si>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</si>
  <si>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</si>
  <si>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</si>
  <si>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</si>
  <si>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</si>
  <si>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</si>
  <si>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</si>
  <si>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</si>
  <si>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</si>
  <si>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</si>
  <si>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</si>
  <si>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</si>
  <si>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</si>
  <si>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</si>
  <si>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</si>
  <si>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</si>
  <si>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</si>
  <si>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</si>
  <si>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</si>
  <si>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</si>
  <si>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</si>
  <si>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</si>
  <si>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</si>
  <si>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</si>
  <si>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</si>
  <si>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</si>
  <si>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</si>
  <si>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</si>
  <si>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</si>
  <si>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</si>
  <si>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</si>
  <si>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</si>
  <si>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</si>
  <si>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</si>
  <si>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</si>
  <si>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</si>
  <si>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</si>
  <si>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</si>
  <si>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</si>
  <si>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</si>
  <si>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</si>
  <si>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</si>
  <si>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</si>
  <si>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</si>
  <si>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</si>
  <si>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</si>
  <si>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</si>
  <si>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</si>
  <si>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</si>
  <si>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</si>
  <si>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</si>
  <si>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</si>
  <si>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</si>
  <si>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</si>
  <si>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</si>
  <si>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</si>
  <si>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</si>
  <si>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</si>
  <si>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</si>
  <si>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</si>
  <si>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</si>
  <si>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</si>
  <si>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</si>
  <si>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</si>
  <si>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</si>
  <si>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</si>
  <si>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</si>
  <si>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</si>
  <si>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</si>
  <si>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</si>
  <si>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</si>
  <si>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</si>
  <si>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</si>
  <si>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</si>
  <si>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</si>
  <si>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</si>
  <si>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</si>
  <si>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</si>
  <si>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</si>
  <si>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</si>
  <si>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</si>
  <si>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</si>
  <si>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</si>
  <si>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</si>
  <si>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</si>
  <si>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</si>
  <si>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</si>
  <si>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</si>
  <si>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</si>
  <si>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</si>
  <si>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</si>
  <si>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</si>
  <si>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</si>
  <si>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</si>
  <si>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</si>
  <si>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</si>
  <si>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</si>
  <si>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</si>
  <si>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</si>
  <si>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</si>
  <si>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</si>
  <si>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</si>
  <si>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</si>
  <si>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</si>
  <si>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</si>
  <si>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</si>
  <si>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</si>
  <si>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</si>
  <si>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</si>
  <si>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</si>
  <si>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</si>
  <si>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</si>
  <si>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</si>
  <si>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</si>
  <si>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</si>
  <si>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</si>
  <si>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</si>
  <si>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</si>
  <si>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</si>
  <si>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</si>
  <si>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</si>
  <si>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</si>
  <si>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</si>
  <si>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</si>
  <si>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</si>
  <si>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</si>
  <si>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</si>
  <si>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</si>
  <si>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</si>
  <si>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</si>
  <si>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</si>
  <si>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</si>
  <si>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</si>
  <si>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</si>
  <si>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</si>
  <si>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</si>
  <si>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</si>
  <si>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</si>
  <si>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</si>
  <si>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</si>
  <si>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</si>
  <si>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</si>
  <si>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</si>
  <si>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</si>
  <si>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</si>
  <si>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</si>
  <si>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</si>
  <si>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</si>
  <si>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</si>
  <si>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</si>
  <si>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</si>
  <si>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</si>
  <si>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</si>
  <si>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</si>
  <si>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</si>
  <si>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</si>
  <si>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</si>
  <si>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</si>
  <si>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</si>
  <si>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</si>
  <si>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</si>
  <si>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</si>
  <si>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</si>
  <si>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</si>
  <si>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</si>
  <si>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</si>
  <si>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</si>
  <si>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</si>
  <si>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</si>
  <si>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</si>
  <si>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</si>
  <si>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</si>
  <si>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</si>
  <si>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</si>
  <si>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</si>
  <si>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</si>
  <si>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</si>
  <si>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</si>
  <si>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</si>
  <si>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</si>
  <si>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</si>
  <si>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</si>
  <si>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</si>
  <si>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</si>
  <si>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</si>
  <si>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</si>
  <si>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</si>
  <si>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</si>
  <si>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</si>
  <si>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</si>
  <si>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</si>
  <si>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</si>
  <si>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</si>
  <si>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</si>
  <si>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</si>
  <si>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</si>
  <si>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</si>
  <si>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</si>
  <si>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</si>
  <si>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</si>
  <si>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</si>
  <si>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</si>
  <si>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</si>
  <si>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</si>
  <si>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</si>
  <si>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</si>
  <si>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</si>
  <si>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</si>
  <si>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</si>
  <si>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</si>
  <si>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</si>
  <si>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</si>
  <si>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</si>
  <si>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</si>
  <si>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</si>
  <si>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</si>
  <si>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</si>
  <si>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</si>
  <si>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</si>
  <si>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</si>
  <si>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</si>
  <si>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</si>
  <si>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</si>
  <si>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</si>
  <si>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</si>
  <si>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</si>
  <si>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</si>
  <si>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</si>
  <si>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</si>
  <si>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</si>
  <si>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</si>
  <si>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</si>
  <si>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</si>
  <si>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</si>
  <si>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</si>
  <si>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</si>
  <si>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</si>
  <si>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</si>
  <si>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</si>
  <si>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</si>
  <si>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</si>
  <si>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</si>
  <si>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</si>
  <si>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</si>
  <si>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</si>
  <si>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</si>
  <si>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</si>
  <si>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</si>
  <si>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</si>
  <si>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</si>
  <si>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</si>
  <si>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</si>
  <si>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</si>
  <si>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</si>
  <si>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</si>
  <si>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</si>
  <si>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</si>
  <si>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</si>
  <si>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</si>
  <si>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</si>
  <si>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</si>
  <si>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</si>
  <si>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</si>
  <si>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</si>
  <si>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</si>
  <si>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</si>
  <si>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</si>
  <si>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</si>
  <si>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</si>
  <si>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</si>
  <si>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</si>
  <si>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</si>
  <si>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</si>
  <si>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</si>
  <si>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</si>
  <si>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</si>
  <si>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</si>
  <si>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</si>
  <si>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</si>
  <si>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</si>
  <si>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</si>
  <si>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</si>
  <si>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</si>
  <si>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</si>
  <si>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</si>
  <si>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</si>
  <si>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</si>
  <si>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</si>
  <si>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</si>
  <si>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</si>
  <si>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</si>
  <si>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</si>
  <si>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</si>
  <si>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</si>
  <si>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</si>
  <si>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</si>
  <si>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</si>
  <si>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</si>
  <si>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</si>
  <si>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</si>
  <si>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</si>
  <si>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</si>
  <si>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</si>
  <si>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</si>
  <si>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</si>
  <si>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</si>
  <si>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</si>
  <si>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</si>
  <si>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</si>
  <si>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</si>
  <si>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</si>
  <si>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</si>
  <si>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</si>
  <si>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</si>
  <si>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</si>
  <si>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</si>
  <si>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</si>
  <si>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</si>
  <si>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</si>
  <si>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</si>
  <si>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</si>
  <si>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</si>
  <si>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</si>
  <si>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</si>
  <si>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</si>
  <si>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</si>
  <si>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</si>
  <si>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</si>
  <si>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</si>
  <si>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</si>
  <si>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</si>
  <si>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</si>
  <si>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</si>
  <si>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</si>
  <si>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</si>
  <si>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</si>
  <si>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</si>
  <si>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</si>
  <si>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</si>
  <si>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</si>
  <si>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</si>
  <si>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</si>
  <si>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</si>
  <si>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</si>
  <si>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</si>
  <si>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</si>
  <si>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</si>
  <si>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</si>
  <si>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</si>
  <si>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</si>
  <si>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</si>
  <si>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</si>
  <si>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</si>
  <si>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</si>
  <si>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</si>
  <si>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</si>
  <si>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</si>
  <si>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</si>
  <si>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период:31.12.2013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</si>
</sst>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0" fillId="34" borderId="14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5" xfId="63" applyNumberFormat="1" applyFont="1" applyFill="1" applyBorder="1" applyAlignment="1" applyProtection="1">
      <alignment vertical="top" wrapText="1"/>
      <protection locked="0"/>
    </xf>
    <xf numFmtId="1" fontId="9" fillId="36" borderId="15" xfId="63" applyNumberFormat="1" applyFont="1" applyFill="1" applyBorder="1" applyAlignment="1" applyProtection="1">
      <alignment vertical="top" wrapText="1"/>
      <protection locked="0"/>
    </xf>
    <xf numFmtId="1" fontId="9" fillId="0" borderId="15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5" xfId="63" applyNumberFormat="1" applyFont="1" applyFill="1" applyBorder="1" applyAlignment="1" applyProtection="1">
      <alignment vertical="top" wrapText="1"/>
      <protection locked="0"/>
    </xf>
    <xf numFmtId="1" fontId="9" fillId="0" borderId="16" xfId="63" applyNumberFormat="1" applyFont="1" applyBorder="1" applyAlignment="1" applyProtection="1">
      <alignment vertical="top" wrapText="1"/>
      <protection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9" fillId="0" borderId="20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21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2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4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21" xfId="66" applyFont="1" applyFill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7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6" xfId="66" applyNumberFormat="1" applyFont="1" applyBorder="1" applyAlignment="1">
      <alignment horizontal="centerContinuous" vertical="center" wrapText="1"/>
      <protection/>
    </xf>
    <xf numFmtId="49" fontId="10" fillId="0" borderId="17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5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6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6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6" fillId="37" borderId="10" xfId="63" applyNumberFormat="1" applyFont="1" applyFill="1" applyBorder="1" applyAlignment="1" applyProtection="1">
      <alignment vertical="top"/>
      <protection/>
    </xf>
    <xf numFmtId="1" fontId="4" fillId="0" borderId="16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6" xfId="63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63" applyNumberFormat="1" applyFont="1" applyFill="1" applyBorder="1" applyAlignment="1" applyProtection="1">
      <alignment vertical="top"/>
      <protection/>
    </xf>
    <xf numFmtId="0" fontId="1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6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11" fillId="0" borderId="22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5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0" fontId="15" fillId="37" borderId="10" xfId="63" applyFont="1" applyFill="1" applyBorder="1" applyAlignment="1" applyProtection="1">
      <alignment horizontal="left" vertical="top" wrapText="1"/>
      <protection/>
    </xf>
    <xf numFmtId="1" fontId="15" fillId="37" borderId="10" xfId="63" applyNumberFormat="1" applyFont="1" applyFill="1" applyBorder="1" applyAlignment="1" applyProtection="1">
      <alignment vertical="top" wrapText="1"/>
      <protection/>
    </xf>
    <xf numFmtId="0" fontId="15" fillId="37" borderId="37" xfId="63" applyFont="1" applyFill="1" applyBorder="1" applyAlignment="1" applyProtection="1">
      <alignment horizontal="left" vertical="top" wrapText="1"/>
      <protection/>
    </xf>
    <xf numFmtId="0" fontId="15" fillId="37" borderId="29" xfId="63" applyFont="1" applyFill="1" applyBorder="1" applyAlignment="1" applyProtection="1">
      <alignment vertical="top" wrapText="1"/>
      <protection/>
    </xf>
    <xf numFmtId="0" fontId="15" fillId="37" borderId="38" xfId="63" applyFont="1" applyFill="1" applyBorder="1" applyAlignment="1" applyProtection="1">
      <alignment vertical="top" wrapText="1"/>
      <protection/>
    </xf>
    <xf numFmtId="49" fontId="15" fillId="37" borderId="36" xfId="63" applyNumberFormat="1" applyFont="1" applyFill="1" applyBorder="1" applyAlignment="1" applyProtection="1">
      <alignment vertical="center" wrapText="1"/>
      <protection/>
    </xf>
    <xf numFmtId="0" fontId="15" fillId="37" borderId="10" xfId="63" applyFont="1" applyFill="1" applyBorder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left" wrapText="1"/>
      <protection locked="0"/>
    </xf>
    <xf numFmtId="3" fontId="10" fillId="0" borderId="14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7" fillId="0" borderId="0" xfId="65" applyFont="1" applyBorder="1" applyAlignment="1">
      <alignment vertical="center" wrapText="1"/>
      <protection/>
    </xf>
    <xf numFmtId="0" fontId="17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49" fontId="18" fillId="0" borderId="10" xfId="65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2" applyFont="1">
      <alignment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0" xfId="62" applyFont="1">
      <alignment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2" applyFont="1" applyProtection="1">
      <alignment/>
      <protection/>
    </xf>
    <xf numFmtId="0" fontId="11" fillId="0" borderId="10" xfId="61" applyFont="1" applyBorder="1" applyAlignment="1" applyProtection="1">
      <alignment/>
      <protection/>
    </xf>
    <xf numFmtId="0" fontId="11" fillId="0" borderId="10" xfId="61" applyFont="1" applyBorder="1" applyAlignment="1" applyProtection="1">
      <alignment wrapText="1"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1" fontId="11" fillId="33" borderId="22" xfId="61" applyNumberFormat="1" applyFont="1" applyFill="1" applyBorder="1" applyAlignment="1" applyProtection="1">
      <alignment vertical="center" wrapText="1"/>
      <protection/>
    </xf>
    <xf numFmtId="1" fontId="11" fillId="33" borderId="22" xfId="61" applyNumberFormat="1" applyFont="1" applyFill="1" applyBorder="1" applyAlignment="1" applyProtection="1">
      <alignment horizontal="center" vertical="center" wrapText="1"/>
      <protection/>
    </xf>
    <xf numFmtId="1" fontId="11" fillId="33" borderId="22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1" fontId="10" fillId="0" borderId="10" xfId="61" applyNumberFormat="1" applyFont="1" applyBorder="1" applyAlignment="1" applyProtection="1">
      <alignment vertical="center" wrapText="1"/>
      <protection/>
    </xf>
    <xf numFmtId="0" fontId="11" fillId="0" borderId="0" xfId="61" applyFont="1" applyProtection="1">
      <alignment/>
      <protection locked="0"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/>
      <protection locked="0"/>
    </xf>
    <xf numFmtId="1" fontId="11" fillId="0" borderId="0" xfId="62" applyNumberFormat="1" applyFont="1" applyProtection="1">
      <alignment/>
      <protection locked="0"/>
    </xf>
    <xf numFmtId="0" fontId="11" fillId="0" borderId="0" xfId="58" applyFont="1" applyAlignment="1">
      <alignment horizontal="centerContinuous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1" fontId="11" fillId="0" borderId="0" xfId="62" applyNumberFormat="1" applyFont="1" applyProtection="1">
      <alignment/>
      <protection/>
    </xf>
    <xf numFmtId="0" fontId="11" fillId="0" borderId="0" xfId="58" applyFont="1" applyAlignment="1">
      <alignment/>
      <protection/>
    </xf>
    <xf numFmtId="0" fontId="10" fillId="0" borderId="0" xfId="61" applyFont="1" applyAlignment="1" applyProtection="1">
      <alignment horizontal="left" vertical="justify"/>
      <protection/>
    </xf>
    <xf numFmtId="0" fontId="11" fillId="0" borderId="0" xfId="61" applyFont="1" applyAlignment="1">
      <alignment horizontal="center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0" fontId="10" fillId="0" borderId="10" xfId="58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62" applyFont="1" applyBorder="1">
      <alignment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0" fillId="0" borderId="0" xfId="62" applyFont="1" applyAlignment="1" applyProtection="1">
      <alignment horizontal="center"/>
      <protection/>
    </xf>
    <xf numFmtId="0" fontId="10" fillId="0" borderId="0" xfId="62" applyFont="1" applyAlignment="1">
      <alignment horizontal="center"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49" fontId="11" fillId="0" borderId="0" xfId="62" applyNumberFormat="1" applyFont="1">
      <alignment/>
      <protection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2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0" fontId="10" fillId="0" borderId="0" xfId="62" applyFont="1" applyBorder="1" applyProtection="1">
      <alignment/>
      <protection/>
    </xf>
    <xf numFmtId="49" fontId="10" fillId="0" borderId="21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0" xfId="62" applyFont="1" applyBorder="1" applyProtection="1">
      <alignment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Protection="1">
      <alignment/>
      <protection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49" fontId="11" fillId="0" borderId="0" xfId="62" applyNumberFormat="1" applyFont="1" applyProtection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Font="1" applyBorder="1" applyAlignment="1">
      <alignment vertical="justify"/>
      <protection/>
    </xf>
    <xf numFmtId="0" fontId="5" fillId="0" borderId="0" xfId="61" applyNumberFormat="1" applyFont="1" applyAlignment="1">
      <alignment horizontal="center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1" fontId="11" fillId="0" borderId="0" xfId="62" applyNumberFormat="1" applyFont="1">
      <alignment/>
      <protection/>
    </xf>
    <xf numFmtId="14" fontId="11" fillId="0" borderId="0" xfId="64" applyNumberFormat="1" applyFont="1" applyAlignment="1" applyProtection="1">
      <alignment wrapText="1"/>
      <protection locked="0"/>
    </xf>
    <xf numFmtId="14" fontId="11" fillId="0" borderId="0" xfId="66" applyNumberFormat="1" applyFont="1" applyAlignment="1" applyProtection="1">
      <alignment wrapText="1"/>
      <protection locked="0"/>
    </xf>
    <xf numFmtId="14" fontId="11" fillId="0" borderId="0" xfId="62" applyNumberFormat="1" applyFont="1" applyProtection="1">
      <alignment/>
      <protection locked="0"/>
    </xf>
    <xf numFmtId="14" fontId="11" fillId="0" borderId="0" xfId="58" applyNumberFormat="1" applyFont="1" applyAlignment="1" applyProtection="1">
      <alignment horizontal="left" vertical="center" wrapText="1"/>
      <protection locked="0"/>
    </xf>
    <xf numFmtId="0" fontId="22" fillId="39" borderId="0" xfId="61" applyFont="1" applyFill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6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center" vertical="center" wrapText="1"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0" fontId="9" fillId="0" borderId="0" xfId="61" applyFont="1" applyAlignment="1" applyProtection="1">
      <alignment horizontal="right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89">
      <selection activeCell="A98" sqref="A98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85" t="s">
        <v>1</v>
      </c>
      <c r="B3" s="586"/>
      <c r="C3" s="586"/>
      <c r="D3" s="586"/>
      <c r="E3" s="266" t="s">
        <v>158</v>
      </c>
      <c r="F3" s="112" t="s">
        <v>2</v>
      </c>
      <c r="G3" s="77"/>
      <c r="H3" s="265" t="s">
        <v>532</v>
      </c>
    </row>
    <row r="4" spans="1:8" ht="15">
      <c r="A4" s="585" t="s">
        <v>531</v>
      </c>
      <c r="B4" s="591"/>
      <c r="C4" s="591"/>
      <c r="D4" s="591"/>
      <c r="E4" s="287" t="s">
        <v>158</v>
      </c>
      <c r="F4" s="587" t="s">
        <v>3</v>
      </c>
      <c r="G4" s="588"/>
      <c r="H4" s="265">
        <v>455</v>
      </c>
    </row>
    <row r="5" spans="1:8" ht="15">
      <c r="A5" s="585" t="s">
        <v>878</v>
      </c>
      <c r="B5" s="586"/>
      <c r="C5" s="586"/>
      <c r="D5" s="586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1670</v>
      </c>
      <c r="D11" s="56">
        <v>1670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7590</v>
      </c>
      <c r="D12" s="56">
        <v>7960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73440</v>
      </c>
      <c r="D13" s="56">
        <v>77704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7812</v>
      </c>
      <c r="D14" s="56">
        <v>8106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663</v>
      </c>
      <c r="D15" s="56">
        <v>649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6</v>
      </c>
      <c r="D16" s="56">
        <v>6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1796</v>
      </c>
      <c r="D17" s="56">
        <v>896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1691</v>
      </c>
      <c r="D18" s="56">
        <v>0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94668</v>
      </c>
      <c r="D19" s="60">
        <f>SUM(D11:D18)</f>
        <v>96991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194</v>
      </c>
      <c r="D20" s="56">
        <v>206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39479</v>
      </c>
      <c r="H21" s="61">
        <f>SUM(H22:H24)</f>
        <v>31621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39479</v>
      </c>
      <c r="H22" s="57">
        <v>31621</v>
      </c>
    </row>
    <row r="23" spans="1:13" ht="15">
      <c r="A23" s="130" t="s">
        <v>65</v>
      </c>
      <c r="B23" s="136" t="s">
        <v>66</v>
      </c>
      <c r="C23" s="56"/>
      <c r="D23" s="56"/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4</v>
      </c>
      <c r="D24" s="56">
        <v>10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39479</v>
      </c>
      <c r="H25" s="59">
        <f>H19+H20+H21</f>
        <v>31621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103</v>
      </c>
      <c r="D26" s="56">
        <v>160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107</v>
      </c>
      <c r="D27" s="60">
        <f>SUM(D23:D26)</f>
        <v>170</v>
      </c>
      <c r="E27" s="148" t="s">
        <v>82</v>
      </c>
      <c r="F27" s="137" t="s">
        <v>83</v>
      </c>
      <c r="G27" s="59">
        <f>SUM(G28:G30)</f>
        <v>-14193</v>
      </c>
      <c r="H27" s="59">
        <f>SUM(H28:H30)</f>
        <v>-14649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v>1289</v>
      </c>
      <c r="H28" s="57">
        <v>5749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-15482</v>
      </c>
      <c r="H29" s="211">
        <v>-20398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9572</v>
      </c>
      <c r="H31" s="57">
        <v>8207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>
        <v>0</v>
      </c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-4621</v>
      </c>
      <c r="H33" s="59">
        <f>H27+H31+H32</f>
        <v>-6442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66613</v>
      </c>
      <c r="H36" s="59">
        <f>H25+H17+H33</f>
        <v>56934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>
        <v>34</v>
      </c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0</v>
      </c>
      <c r="H43" s="57"/>
      <c r="M43" s="62"/>
    </row>
    <row r="44" spans="1:8" ht="15">
      <c r="A44" s="130" t="s">
        <v>131</v>
      </c>
      <c r="B44" s="159" t="s">
        <v>132</v>
      </c>
      <c r="C44" s="56">
        <v>216</v>
      </c>
      <c r="D44" s="56">
        <v>151</v>
      </c>
      <c r="E44" s="163" t="s">
        <v>133</v>
      </c>
      <c r="F44" s="137" t="s">
        <v>134</v>
      </c>
      <c r="G44" s="57">
        <v>39986</v>
      </c>
      <c r="H44" s="57">
        <v>39337</v>
      </c>
    </row>
    <row r="45" spans="1:15" ht="15">
      <c r="A45" s="130" t="s">
        <v>135</v>
      </c>
      <c r="B45" s="144" t="s">
        <v>136</v>
      </c>
      <c r="C45" s="60">
        <f>C34+C39+C44</f>
        <v>246</v>
      </c>
      <c r="D45" s="60">
        <f>D34+D39+D44</f>
        <v>181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f>139</f>
        <v>139</v>
      </c>
      <c r="H48" s="57">
        <v>139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40125</v>
      </c>
      <c r="H49" s="59">
        <f>SUM(H43:H48)</f>
        <v>39476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1466</v>
      </c>
      <c r="H53" s="57">
        <v>1572</v>
      </c>
    </row>
    <row r="54" spans="1:8" ht="15">
      <c r="A54" s="130" t="s">
        <v>165</v>
      </c>
      <c r="B54" s="144" t="s">
        <v>166</v>
      </c>
      <c r="C54" s="56">
        <f>221</f>
        <v>221</v>
      </c>
      <c r="D54" s="56">
        <v>221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95436</v>
      </c>
      <c r="D55" s="60">
        <f>D19+D20+D21+D27+D32+D45+D51+D53+D54</f>
        <v>97769</v>
      </c>
      <c r="E55" s="132" t="s">
        <v>171</v>
      </c>
      <c r="F55" s="156" t="s">
        <v>172</v>
      </c>
      <c r="G55" s="59">
        <f>G49+G51+G52+G53+G54</f>
        <v>41591</v>
      </c>
      <c r="H55" s="59">
        <f>H49+H51+H52+H53+H54</f>
        <v>41048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14323</v>
      </c>
      <c r="D58" s="56">
        <v>10756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2108</v>
      </c>
      <c r="D59" s="56">
        <v>1806</v>
      </c>
      <c r="E59" s="146" t="s">
        <v>180</v>
      </c>
      <c r="F59" s="137" t="s">
        <v>181</v>
      </c>
      <c r="G59" s="57">
        <v>11687</v>
      </c>
      <c r="H59" s="57">
        <v>18624</v>
      </c>
      <c r="M59" s="62"/>
    </row>
    <row r="60" spans="1:8" ht="15">
      <c r="A60" s="130" t="s">
        <v>182</v>
      </c>
      <c r="B60" s="136" t="s">
        <v>183</v>
      </c>
      <c r="C60" s="56">
        <v>0</v>
      </c>
      <c r="D60" s="56">
        <v>0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156</v>
      </c>
      <c r="D61" s="56">
        <v>183</v>
      </c>
      <c r="E61" s="138" t="s">
        <v>188</v>
      </c>
      <c r="F61" s="167" t="s">
        <v>189</v>
      </c>
      <c r="G61" s="59">
        <f>SUM(G62:G68)</f>
        <v>10232</v>
      </c>
      <c r="H61" s="59">
        <f>SUM(H62:H68)</f>
        <v>8120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532</v>
      </c>
      <c r="H62" s="57">
        <v>474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16587</v>
      </c>
      <c r="D64" s="60">
        <f>SUM(D58:D63)</f>
        <v>12745</v>
      </c>
      <c r="E64" s="132" t="s">
        <v>199</v>
      </c>
      <c r="F64" s="137" t="s">
        <v>200</v>
      </c>
      <c r="G64" s="57">
        <v>8609</v>
      </c>
      <c r="H64" s="57">
        <v>6254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72</v>
      </c>
      <c r="H65" s="57">
        <v>56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399</v>
      </c>
      <c r="H66" s="57">
        <v>350</v>
      </c>
    </row>
    <row r="67" spans="1:8" ht="15">
      <c r="A67" s="130" t="s">
        <v>206</v>
      </c>
      <c r="B67" s="136" t="s">
        <v>207</v>
      </c>
      <c r="C67" s="56">
        <v>25</v>
      </c>
      <c r="D67" s="56">
        <v>46</v>
      </c>
      <c r="E67" s="132" t="s">
        <v>208</v>
      </c>
      <c r="F67" s="137" t="s">
        <v>209</v>
      </c>
      <c r="G67" s="57">
        <v>139</v>
      </c>
      <c r="H67" s="57">
        <v>116</v>
      </c>
    </row>
    <row r="68" spans="1:8" ht="15">
      <c r="A68" s="130" t="s">
        <v>210</v>
      </c>
      <c r="B68" s="136" t="s">
        <v>211</v>
      </c>
      <c r="C68" s="56">
        <v>10330</v>
      </c>
      <c r="D68" s="56">
        <v>8883</v>
      </c>
      <c r="E68" s="132" t="s">
        <v>212</v>
      </c>
      <c r="F68" s="137" t="s">
        <v>213</v>
      </c>
      <c r="G68" s="57">
        <v>481</v>
      </c>
      <c r="H68" s="57">
        <v>870</v>
      </c>
    </row>
    <row r="69" spans="1:8" ht="15">
      <c r="A69" s="130" t="s">
        <v>214</v>
      </c>
      <c r="B69" s="136" t="s">
        <v>215</v>
      </c>
      <c r="C69" s="56">
        <v>695</v>
      </c>
      <c r="D69" s="56">
        <v>348</v>
      </c>
      <c r="E69" s="146" t="s">
        <v>77</v>
      </c>
      <c r="F69" s="137" t="s">
        <v>216</v>
      </c>
      <c r="G69" s="57">
        <v>450</v>
      </c>
      <c r="H69" s="57">
        <v>310</v>
      </c>
    </row>
    <row r="70" spans="1:8" ht="15">
      <c r="A70" s="130" t="s">
        <v>217</v>
      </c>
      <c r="B70" s="136" t="s">
        <v>218</v>
      </c>
      <c r="C70" s="56">
        <v>2319</v>
      </c>
      <c r="D70" s="56">
        <v>79</v>
      </c>
      <c r="E70" s="132" t="s">
        <v>219</v>
      </c>
      <c r="F70" s="137" t="s">
        <v>220</v>
      </c>
      <c r="G70" s="57">
        <v>31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0</v>
      </c>
      <c r="D71" s="56">
        <v>0</v>
      </c>
      <c r="E71" s="148" t="s">
        <v>45</v>
      </c>
      <c r="F71" s="168" t="s">
        <v>223</v>
      </c>
      <c r="G71" s="66">
        <f>G59+G60+G61+G69+G70</f>
        <v>22400</v>
      </c>
      <c r="H71" s="66">
        <f>H59+H60+H61+H69+H70</f>
        <v>27105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3126</v>
      </c>
      <c r="D72" s="56">
        <v>2433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185</v>
      </c>
      <c r="D74" s="56">
        <v>1138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16680</v>
      </c>
      <c r="D75" s="60">
        <f>SUM(D67:D74)</f>
        <v>12927</v>
      </c>
      <c r="E75" s="146" t="s">
        <v>159</v>
      </c>
      <c r="F75" s="140" t="s">
        <v>233</v>
      </c>
      <c r="G75" s="57"/>
      <c r="H75" s="57">
        <v>5</v>
      </c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22400</v>
      </c>
      <c r="H79" s="67">
        <f>H71+H74+H75+H76</f>
        <v>27110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6</v>
      </c>
      <c r="D87" s="56">
        <v>8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540</v>
      </c>
      <c r="D88" s="56">
        <v>203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1235</v>
      </c>
      <c r="D89" s="56">
        <v>1235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1781</v>
      </c>
      <c r="D91" s="60">
        <f>SUM(D87:D90)</f>
        <v>1446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154</v>
      </c>
      <c r="D92" s="56">
        <v>205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35202</v>
      </c>
      <c r="D93" s="60">
        <f>D64+D75+D84+D91+D92</f>
        <v>27323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130638</v>
      </c>
      <c r="D94" s="69">
        <f>D93+D55</f>
        <v>125092</v>
      </c>
      <c r="E94" s="261" t="s">
        <v>269</v>
      </c>
      <c r="F94" s="184" t="s">
        <v>270</v>
      </c>
      <c r="G94" s="70">
        <f>G36+G39+G55+G79</f>
        <v>130638</v>
      </c>
      <c r="H94" s="70">
        <f>H36+H39+H55+H79</f>
        <v>125092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41682</v>
      </c>
      <c r="B98" s="251"/>
      <c r="C98" s="589" t="s">
        <v>272</v>
      </c>
      <c r="D98" s="589"/>
      <c r="E98" s="589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89" t="s">
        <v>527</v>
      </c>
      <c r="D100" s="590"/>
      <c r="E100" s="590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D44" sqref="D44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94" t="str">
        <f>'справка №1-БАЛАНС'!E3</f>
        <v> </v>
      </c>
      <c r="C2" s="594"/>
      <c r="D2" s="594"/>
      <c r="E2" s="594"/>
      <c r="F2" s="596" t="s">
        <v>2</v>
      </c>
      <c r="G2" s="596"/>
      <c r="H2" s="290" t="str">
        <f>'справка №1-БАЛАНС'!H3</f>
        <v>814191`178</v>
      </c>
    </row>
    <row r="3" spans="1:8" ht="15">
      <c r="A3" s="271" t="s">
        <v>274</v>
      </c>
      <c r="B3" s="594" t="str">
        <f>'справка №1-БАЛАНС'!E4</f>
        <v> </v>
      </c>
      <c r="C3" s="594"/>
      <c r="D3" s="594"/>
      <c r="E3" s="594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595" t="str">
        <f>'справка №1-БАЛАНС'!E5</f>
        <v> </v>
      </c>
      <c r="C4" s="595"/>
      <c r="D4" s="595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70333</v>
      </c>
      <c r="D9" s="23">
        <v>57462</v>
      </c>
      <c r="E9" s="193" t="s">
        <v>284</v>
      </c>
      <c r="F9" s="309" t="s">
        <v>285</v>
      </c>
      <c r="G9" s="310">
        <v>109515</v>
      </c>
      <c r="H9" s="310">
        <v>85024</v>
      </c>
    </row>
    <row r="10" spans="1:8" ht="12">
      <c r="A10" s="193" t="s">
        <v>286</v>
      </c>
      <c r="B10" s="194" t="s">
        <v>287</v>
      </c>
      <c r="C10" s="23">
        <v>15442</v>
      </c>
      <c r="D10" s="23">
        <v>13576</v>
      </c>
      <c r="E10" s="193" t="s">
        <v>288</v>
      </c>
      <c r="F10" s="309" t="s">
        <v>289</v>
      </c>
      <c r="G10" s="310">
        <v>18</v>
      </c>
      <c r="H10" s="310">
        <v>621</v>
      </c>
    </row>
    <row r="11" spans="1:8" ht="12">
      <c r="A11" s="193" t="s">
        <v>290</v>
      </c>
      <c r="B11" s="194" t="s">
        <v>291</v>
      </c>
      <c r="C11" s="23">
        <v>5978</v>
      </c>
      <c r="D11" s="23">
        <v>5899</v>
      </c>
      <c r="E11" s="195" t="s">
        <v>292</v>
      </c>
      <c r="F11" s="309" t="s">
        <v>293</v>
      </c>
      <c r="G11" s="310">
        <v>374</v>
      </c>
      <c r="H11" s="310">
        <v>4822</v>
      </c>
    </row>
    <row r="12" spans="1:8" ht="12">
      <c r="A12" s="193" t="s">
        <v>294</v>
      </c>
      <c r="B12" s="194" t="s">
        <v>295</v>
      </c>
      <c r="C12" s="23">
        <v>4779</v>
      </c>
      <c r="D12" s="23">
        <v>4156</v>
      </c>
      <c r="E12" s="195" t="s">
        <v>77</v>
      </c>
      <c r="F12" s="309" t="s">
        <v>296</v>
      </c>
      <c r="G12" s="310">
        <v>821</v>
      </c>
      <c r="H12" s="310">
        <v>3987</v>
      </c>
    </row>
    <row r="13" spans="1:18" ht="12">
      <c r="A13" s="193" t="s">
        <v>297</v>
      </c>
      <c r="B13" s="194" t="s">
        <v>298</v>
      </c>
      <c r="C13" s="23">
        <v>842</v>
      </c>
      <c r="D13" s="23">
        <v>731</v>
      </c>
      <c r="E13" s="196" t="s">
        <v>50</v>
      </c>
      <c r="F13" s="311" t="s">
        <v>299</v>
      </c>
      <c r="G13" s="308">
        <f>SUM(G9:G12)</f>
        <v>110728</v>
      </c>
      <c r="H13" s="308">
        <f>SUM(H9:H12)</f>
        <v>94454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494</v>
      </c>
      <c r="D14" s="23">
        <v>858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-295-108</f>
        <v>-403</v>
      </c>
      <c r="D15" s="24">
        <v>-2005</v>
      </c>
      <c r="E15" s="191" t="s">
        <v>304</v>
      </c>
      <c r="F15" s="314" t="s">
        <v>305</v>
      </c>
      <c r="G15" s="310">
        <v>69</v>
      </c>
      <c r="H15" s="310">
        <v>4</v>
      </c>
    </row>
    <row r="16" spans="1:8" ht="12">
      <c r="A16" s="193" t="s">
        <v>306</v>
      </c>
      <c r="B16" s="194" t="s">
        <v>307</v>
      </c>
      <c r="C16" s="24">
        <v>994</v>
      </c>
      <c r="D16" s="24">
        <v>1427</v>
      </c>
      <c r="E16" s="193" t="s">
        <v>308</v>
      </c>
      <c r="F16" s="312" t="s">
        <v>309</v>
      </c>
      <c r="G16" s="315">
        <v>69</v>
      </c>
      <c r="H16" s="315"/>
    </row>
    <row r="17" spans="1:8" ht="12">
      <c r="A17" s="197" t="s">
        <v>310</v>
      </c>
      <c r="B17" s="194" t="s">
        <v>311</v>
      </c>
      <c r="C17" s="25"/>
      <c r="D17" s="25">
        <v>299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98459</v>
      </c>
      <c r="D19" s="26">
        <f>SUM(D9:D15)+D16</f>
        <v>82104</v>
      </c>
      <c r="E19" s="199" t="s">
        <v>316</v>
      </c>
      <c r="F19" s="312" t="s">
        <v>317</v>
      </c>
      <c r="G19" s="310">
        <v>381</v>
      </c>
      <c r="H19" s="310">
        <v>62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2774</v>
      </c>
      <c r="D22" s="23">
        <v>3141</v>
      </c>
      <c r="E22" s="199" t="s">
        <v>325</v>
      </c>
      <c r="F22" s="312" t="s">
        <v>326</v>
      </c>
      <c r="G22" s="310">
        <v>57</v>
      </c>
      <c r="H22" s="310">
        <v>0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430</v>
      </c>
      <c r="D24" s="23">
        <v>38</v>
      </c>
      <c r="E24" s="196" t="s">
        <v>102</v>
      </c>
      <c r="F24" s="314" t="s">
        <v>333</v>
      </c>
      <c r="G24" s="308">
        <f>SUM(G19:G23)</f>
        <v>438</v>
      </c>
      <c r="H24" s="308">
        <f>SUM(H19:H23)</f>
        <v>62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0</v>
      </c>
      <c r="D25" s="23">
        <v>228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3204</v>
      </c>
      <c r="D26" s="26">
        <f>SUM(D22:D25)</f>
        <v>3407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101663</v>
      </c>
      <c r="D28" s="27">
        <f>D26+D19</f>
        <v>85511</v>
      </c>
      <c r="E28" s="41" t="s">
        <v>338</v>
      </c>
      <c r="F28" s="314" t="s">
        <v>339</v>
      </c>
      <c r="G28" s="308">
        <f>G13+G15+G24</f>
        <v>111235</v>
      </c>
      <c r="H28" s="308">
        <f>H13+H15+H24</f>
        <v>94520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9572</v>
      </c>
      <c r="D30" s="27">
        <f>IF((H28-D28)&gt;0,H28-D28,0)</f>
        <v>9009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101663</v>
      </c>
      <c r="D33" s="26">
        <f>D28-D31+D32</f>
        <v>85511</v>
      </c>
      <c r="E33" s="41" t="s">
        <v>352</v>
      </c>
      <c r="F33" s="314" t="s">
        <v>353</v>
      </c>
      <c r="G33" s="30">
        <f>G32-G31+G28</f>
        <v>111235</v>
      </c>
      <c r="H33" s="30">
        <f>H32-H31+H28</f>
        <v>94520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9572</v>
      </c>
      <c r="D34" s="27">
        <f>IF((H33-D33)&gt;0,H33-D33,0)</f>
        <v>9009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802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>
        <v>919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/>
      <c r="D37" s="249">
        <v>-117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9572</v>
      </c>
      <c r="D39" s="264">
        <f>+IF((H33-D33-D35)&gt;0,H33-D33-D35,0)</f>
        <v>8207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9572</v>
      </c>
      <c r="D41" s="29">
        <f>IF(H39=0,IF(D39-D40&gt;0,D39-D40+H40,0),IF(H39-H40&lt;0,H40-H39+D39,0))</f>
        <v>8207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111235</v>
      </c>
      <c r="D42" s="30">
        <f>D33+D35+D39</f>
        <v>94520</v>
      </c>
      <c r="E42" s="42" t="s">
        <v>379</v>
      </c>
      <c r="F42" s="43" t="s">
        <v>380</v>
      </c>
      <c r="G42" s="30">
        <f>G39+G33</f>
        <v>111235</v>
      </c>
      <c r="H42" s="30">
        <f>H39+H33</f>
        <v>94520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597" t="s">
        <v>529</v>
      </c>
      <c r="B45" s="597"/>
      <c r="C45" s="597"/>
      <c r="D45" s="597"/>
      <c r="E45" s="597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f>'справка №1-БАЛАНС'!A98</f>
        <v>41682</v>
      </c>
      <c r="C48" s="247" t="s">
        <v>381</v>
      </c>
      <c r="D48" s="592"/>
      <c r="E48" s="592"/>
      <c r="F48" s="592"/>
      <c r="G48" s="592"/>
      <c r="H48" s="592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93"/>
      <c r="E50" s="593"/>
      <c r="F50" s="593"/>
      <c r="G50" s="593"/>
      <c r="H50" s="593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D46" sqref="D46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112242</v>
      </c>
      <c r="D10" s="31">
        <v>87312</v>
      </c>
      <c r="E10" s="44"/>
      <c r="F10" s="44"/>
    </row>
    <row r="11" spans="1:13" ht="12">
      <c r="A11" s="227" t="s">
        <v>388</v>
      </c>
      <c r="B11" s="228" t="s">
        <v>389</v>
      </c>
      <c r="C11" s="31">
        <v>-101968</v>
      </c>
      <c r="D11" s="31">
        <v>-82491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-5763</v>
      </c>
      <c r="D13" s="31">
        <v>-5131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12727</v>
      </c>
      <c r="D14" s="31">
        <v>9332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-319</v>
      </c>
      <c r="D15" s="31">
        <v>-225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108</v>
      </c>
      <c r="D16" s="31">
        <v>55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-2100</v>
      </c>
      <c r="D17" s="31">
        <v>-2164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-112</v>
      </c>
      <c r="D18" s="31">
        <v>-65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-1534</v>
      </c>
      <c r="D19" s="31">
        <v>-1533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13281</v>
      </c>
      <c r="D20" s="32">
        <f>SUM(D10:D19)</f>
        <v>5090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-4633</v>
      </c>
      <c r="D22" s="31">
        <v>-3115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70</v>
      </c>
      <c r="D23" s="31">
        <v>87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>
        <v>-109</v>
      </c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>
        <v>40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532</v>
      </c>
      <c r="D31" s="31">
        <v>1244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-4031</v>
      </c>
      <c r="D32" s="32">
        <f>SUM(D22:D31)</f>
        <v>-1853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93928</v>
      </c>
      <c r="D36" s="31">
        <v>35579</v>
      </c>
      <c r="E36" s="44"/>
      <c r="F36" s="44"/>
    </row>
    <row r="37" spans="1:6" ht="12">
      <c r="A37" s="227" t="s">
        <v>437</v>
      </c>
      <c r="B37" s="228" t="s">
        <v>438</v>
      </c>
      <c r="C37" s="31">
        <f>-102877</f>
        <v>-102877</v>
      </c>
      <c r="D37" s="31">
        <v>-41176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>
        <v>-80</v>
      </c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34</v>
      </c>
      <c r="D41" s="31"/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-8915</v>
      </c>
      <c r="D42" s="32">
        <f>SUM(D34:D41)</f>
        <v>-5677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335</v>
      </c>
      <c r="D43" s="32">
        <f>D42+D32+D20</f>
        <v>-2440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1446</v>
      </c>
      <c r="D44" s="46">
        <v>3886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1781</v>
      </c>
      <c r="D45" s="32">
        <f>D44+D43</f>
        <v>1446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546</v>
      </c>
      <c r="D46" s="33">
        <v>210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1235</v>
      </c>
      <c r="D47" s="33">
        <v>1236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80">
        <f>'справка №1-БАЛАНС'!A98</f>
        <v>41682</v>
      </c>
      <c r="B50" s="254" t="s">
        <v>381</v>
      </c>
      <c r="C50" s="598"/>
      <c r="D50" s="598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598"/>
      <c r="D52" s="598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3">
      <selection activeCell="J28" sqref="J28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599" t="s">
        <v>459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1" t="str">
        <f>'справка №1-БАЛАНС'!E3</f>
        <v> </v>
      </c>
      <c r="C3" s="601"/>
      <c r="D3" s="601"/>
      <c r="E3" s="601"/>
      <c r="F3" s="601"/>
      <c r="G3" s="601"/>
      <c r="H3" s="601"/>
      <c r="I3" s="601"/>
      <c r="J3" s="280"/>
      <c r="K3" s="603" t="s">
        <v>2</v>
      </c>
      <c r="L3" s="603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1" t="str">
        <f>'справка №1-БАЛАНС'!E4</f>
        <v> </v>
      </c>
      <c r="C4" s="601"/>
      <c r="D4" s="601"/>
      <c r="E4" s="601"/>
      <c r="F4" s="601"/>
      <c r="G4" s="601"/>
      <c r="H4" s="601"/>
      <c r="I4" s="601"/>
      <c r="J4" s="50"/>
      <c r="K4" s="604" t="s">
        <v>3</v>
      </c>
      <c r="L4" s="604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05" t="str">
        <f>'справка №1-БАЛАНС'!E5</f>
        <v> </v>
      </c>
      <c r="C5" s="605"/>
      <c r="D5" s="605"/>
      <c r="E5" s="605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31621</v>
      </c>
      <c r="G11" s="35">
        <f>'справка №1-БАЛАНС'!H23</f>
        <v>0</v>
      </c>
      <c r="H11" s="37"/>
      <c r="I11" s="35">
        <f>'справка №1-БАЛАНС'!H28+'справка №1-БАЛАНС'!H31</f>
        <v>13956</v>
      </c>
      <c r="J11" s="35">
        <f>'справка №1-БАЛАНС'!H29+'справка №1-БАЛАНС'!H32</f>
        <v>-20398</v>
      </c>
      <c r="K11" s="37"/>
      <c r="L11" s="239">
        <f>SUM(C11:K11)</f>
        <v>56934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31621</v>
      </c>
      <c r="G15" s="38">
        <f t="shared" si="2"/>
        <v>0</v>
      </c>
      <c r="H15" s="38">
        <f t="shared" si="2"/>
        <v>0</v>
      </c>
      <c r="I15" s="38">
        <f t="shared" si="2"/>
        <v>13956</v>
      </c>
      <c r="J15" s="38">
        <f t="shared" si="2"/>
        <v>-20398</v>
      </c>
      <c r="K15" s="38">
        <f t="shared" si="2"/>
        <v>0</v>
      </c>
      <c r="L15" s="239">
        <f t="shared" si="1"/>
        <v>56934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9572</f>
        <v>9572</v>
      </c>
      <c r="J16" s="240">
        <f>+'справка №1-БАЛАНС'!G32</f>
        <v>0</v>
      </c>
      <c r="K16" s="37"/>
      <c r="L16" s="239">
        <f t="shared" si="1"/>
        <v>9572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936+6922</f>
        <v>7858</v>
      </c>
      <c r="G28" s="37"/>
      <c r="H28" s="37"/>
      <c r="I28" s="37">
        <f>-936-6922+1+106</f>
        <v>-7751</v>
      </c>
      <c r="J28" s="37"/>
      <c r="K28" s="37">
        <v>0</v>
      </c>
      <c r="L28" s="239">
        <f t="shared" si="1"/>
        <v>107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39479</v>
      </c>
      <c r="G29" s="36">
        <f t="shared" si="6"/>
        <v>0</v>
      </c>
      <c r="H29" s="36">
        <f t="shared" si="6"/>
        <v>0</v>
      </c>
      <c r="I29" s="36">
        <f t="shared" si="6"/>
        <v>15777</v>
      </c>
      <c r="J29" s="36">
        <f t="shared" si="6"/>
        <v>-20398</v>
      </c>
      <c r="K29" s="36">
        <f t="shared" si="6"/>
        <v>0</v>
      </c>
      <c r="L29" s="239">
        <f t="shared" si="1"/>
        <v>66613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39479</v>
      </c>
      <c r="G32" s="36">
        <f t="shared" si="7"/>
        <v>0</v>
      </c>
      <c r="H32" s="36">
        <f t="shared" si="7"/>
        <v>0</v>
      </c>
      <c r="I32" s="36">
        <f t="shared" si="7"/>
        <v>15777</v>
      </c>
      <c r="J32" s="36">
        <f t="shared" si="7"/>
        <v>-20398</v>
      </c>
      <c r="K32" s="36">
        <f t="shared" si="7"/>
        <v>0</v>
      </c>
      <c r="L32" s="239">
        <f t="shared" si="1"/>
        <v>66613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02" t="s">
        <v>530</v>
      </c>
      <c r="B35" s="602"/>
      <c r="C35" s="602"/>
      <c r="D35" s="602"/>
      <c r="E35" s="602"/>
      <c r="F35" s="602"/>
      <c r="G35" s="602"/>
      <c r="H35" s="602"/>
      <c r="I35" s="602"/>
      <c r="J35" s="602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600" t="s">
        <v>521</v>
      </c>
      <c r="E38" s="600"/>
      <c r="F38" s="600"/>
      <c r="G38" s="600"/>
      <c r="H38" s="600"/>
      <c r="I38" s="600"/>
      <c r="J38" s="15" t="s">
        <v>528</v>
      </c>
      <c r="K38" s="15"/>
      <c r="L38" s="600"/>
      <c r="M38" s="600"/>
      <c r="N38" s="11"/>
    </row>
    <row r="39" spans="1:13" ht="12">
      <c r="A39" s="581">
        <f>'справка №1-БАЛАНС'!A98</f>
        <v>41682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D15">
      <selection activeCell="R16" sqref="R16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13" t="s">
        <v>383</v>
      </c>
      <c r="B2" s="614"/>
      <c r="C2" s="615" t="str">
        <f>'[1]справка №1-БАЛАНС'!E3</f>
        <v>"СВИЛОЗА" АД</v>
      </c>
      <c r="D2" s="615"/>
      <c r="E2" s="615"/>
      <c r="F2" s="615"/>
      <c r="G2" s="615"/>
      <c r="H2" s="615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13" t="s">
        <v>4</v>
      </c>
      <c r="B4" s="614"/>
      <c r="C4" s="616"/>
      <c r="D4" s="616"/>
      <c r="E4" s="616"/>
      <c r="F4" s="339"/>
      <c r="G4" s="339"/>
      <c r="H4" s="339"/>
      <c r="I4" s="339"/>
      <c r="J4" s="339"/>
      <c r="K4" s="339"/>
      <c r="L4" s="339"/>
      <c r="M4" s="617" t="s">
        <v>3</v>
      </c>
      <c r="N4" s="617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 t="s">
        <v>158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18" t="s">
        <v>463</v>
      </c>
      <c r="B6" s="619"/>
      <c r="C6" s="606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08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08" t="s">
        <v>541</v>
      </c>
      <c r="R6" s="608" t="s">
        <v>542</v>
      </c>
    </row>
    <row r="7" spans="1:18" s="345" customFormat="1" ht="72">
      <c r="A7" s="620"/>
      <c r="B7" s="621"/>
      <c r="C7" s="607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09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09"/>
      <c r="R7" s="609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1670</v>
      </c>
      <c r="E10" s="355">
        <v>0</v>
      </c>
      <c r="F10" s="355">
        <v>0</v>
      </c>
      <c r="G10" s="356">
        <f>D10+E10-F10</f>
        <v>1670</v>
      </c>
      <c r="H10" s="357"/>
      <c r="I10" s="357"/>
      <c r="J10" s="356">
        <f>G10+H10-I10</f>
        <v>1670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1670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10468</v>
      </c>
      <c r="E11" s="355">
        <v>18</v>
      </c>
      <c r="F11" s="355">
        <v>0</v>
      </c>
      <c r="G11" s="356">
        <f aca="true" t="shared" si="2" ref="G11:G40">D11+E11-F11</f>
        <v>10486</v>
      </c>
      <c r="H11" s="357"/>
      <c r="I11" s="357"/>
      <c r="J11" s="356">
        <f aca="true" t="shared" si="3" ref="J11:J40">G11+H11-I11</f>
        <v>10486</v>
      </c>
      <c r="K11" s="357">
        <v>2508</v>
      </c>
      <c r="L11" s="357">
        <v>388</v>
      </c>
      <c r="M11" s="357">
        <v>0</v>
      </c>
      <c r="N11" s="356">
        <f aca="true" t="shared" si="4" ref="N11:N40">K11+L11-M11</f>
        <v>2896</v>
      </c>
      <c r="O11" s="357"/>
      <c r="P11" s="357"/>
      <c r="Q11" s="356">
        <f t="shared" si="0"/>
        <v>2896</v>
      </c>
      <c r="R11" s="356">
        <f t="shared" si="1"/>
        <v>7590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105953</v>
      </c>
      <c r="E12" s="355">
        <v>730</v>
      </c>
      <c r="F12" s="355">
        <v>60</v>
      </c>
      <c r="G12" s="356">
        <f t="shared" si="2"/>
        <v>106623</v>
      </c>
      <c r="H12" s="357"/>
      <c r="I12" s="357"/>
      <c r="J12" s="356">
        <f t="shared" si="3"/>
        <v>106623</v>
      </c>
      <c r="K12" s="357">
        <v>28249</v>
      </c>
      <c r="L12" s="357">
        <v>4986</v>
      </c>
      <c r="M12" s="357">
        <v>52</v>
      </c>
      <c r="N12" s="356">
        <f t="shared" si="4"/>
        <v>33183</v>
      </c>
      <c r="O12" s="357"/>
      <c r="P12" s="357"/>
      <c r="Q12" s="356">
        <f t="shared" si="0"/>
        <v>33183</v>
      </c>
      <c r="R12" s="356">
        <f t="shared" si="1"/>
        <v>73440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10711</v>
      </c>
      <c r="E13" s="355">
        <v>111</v>
      </c>
      <c r="F13" s="355">
        <v>6</v>
      </c>
      <c r="G13" s="356">
        <f t="shared" si="2"/>
        <v>10816</v>
      </c>
      <c r="H13" s="357"/>
      <c r="I13" s="357"/>
      <c r="J13" s="356">
        <f t="shared" si="3"/>
        <v>10816</v>
      </c>
      <c r="K13" s="357">
        <v>2605</v>
      </c>
      <c r="L13" s="357">
        <v>400</v>
      </c>
      <c r="M13" s="357">
        <v>1</v>
      </c>
      <c r="N13" s="356">
        <f t="shared" si="4"/>
        <v>3004</v>
      </c>
      <c r="O13" s="357"/>
      <c r="P13" s="357"/>
      <c r="Q13" s="356">
        <f t="shared" si="0"/>
        <v>3004</v>
      </c>
      <c r="R13" s="356">
        <f t="shared" si="1"/>
        <v>7812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1538</v>
      </c>
      <c r="E14" s="355">
        <v>198</v>
      </c>
      <c r="F14" s="355">
        <v>0</v>
      </c>
      <c r="G14" s="356">
        <f t="shared" si="2"/>
        <v>1736</v>
      </c>
      <c r="H14" s="357"/>
      <c r="I14" s="357"/>
      <c r="J14" s="356">
        <f t="shared" si="3"/>
        <v>1736</v>
      </c>
      <c r="K14" s="357">
        <v>889</v>
      </c>
      <c r="L14" s="357">
        <v>184</v>
      </c>
      <c r="M14" s="357">
        <v>0</v>
      </c>
      <c r="N14" s="356">
        <f t="shared" si="4"/>
        <v>1073</v>
      </c>
      <c r="O14" s="357"/>
      <c r="P14" s="357"/>
      <c r="Q14" s="356">
        <f t="shared" si="0"/>
        <v>1073</v>
      </c>
      <c r="R14" s="356">
        <f t="shared" si="1"/>
        <v>663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175</v>
      </c>
      <c r="E15" s="355">
        <v>2</v>
      </c>
      <c r="F15" s="355">
        <v>55</v>
      </c>
      <c r="G15" s="356">
        <f t="shared" si="2"/>
        <v>122</v>
      </c>
      <c r="H15" s="357"/>
      <c r="I15" s="357"/>
      <c r="J15" s="356">
        <f t="shared" si="3"/>
        <v>122</v>
      </c>
      <c r="K15" s="357">
        <v>169</v>
      </c>
      <c r="L15" s="357">
        <v>1</v>
      </c>
      <c r="M15" s="357">
        <v>54</v>
      </c>
      <c r="N15" s="356">
        <f t="shared" si="4"/>
        <v>116</v>
      </c>
      <c r="O15" s="357"/>
      <c r="P15" s="357"/>
      <c r="Q15" s="356">
        <f t="shared" si="0"/>
        <v>116</v>
      </c>
      <c r="R15" s="356">
        <f t="shared" si="1"/>
        <v>6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896</v>
      </c>
      <c r="E16" s="362">
        <v>1548</v>
      </c>
      <c r="F16" s="362">
        <v>648</v>
      </c>
      <c r="G16" s="356">
        <f t="shared" si="2"/>
        <v>1796</v>
      </c>
      <c r="H16" s="363"/>
      <c r="I16" s="363"/>
      <c r="J16" s="356">
        <f t="shared" si="3"/>
        <v>1796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1796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v>19</v>
      </c>
      <c r="E17" s="355">
        <v>3033</v>
      </c>
      <c r="F17" s="355">
        <v>1361</v>
      </c>
      <c r="G17" s="356">
        <f t="shared" si="2"/>
        <v>1691</v>
      </c>
      <c r="H17" s="357"/>
      <c r="I17" s="357"/>
      <c r="J17" s="356">
        <f t="shared" si="3"/>
        <v>1691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1691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131430</v>
      </c>
      <c r="E18" s="369">
        <f>SUM(E10:E17)</f>
        <v>5640</v>
      </c>
      <c r="F18" s="369">
        <f>SUM(F10:F17)</f>
        <v>2130</v>
      </c>
      <c r="G18" s="356">
        <f t="shared" si="2"/>
        <v>134940</v>
      </c>
      <c r="H18" s="370">
        <f>SUM(H10:H17)</f>
        <v>0</v>
      </c>
      <c r="I18" s="370">
        <f>SUM(I10:I17)</f>
        <v>0</v>
      </c>
      <c r="J18" s="356">
        <f t="shared" si="3"/>
        <v>134940</v>
      </c>
      <c r="K18" s="370">
        <f>SUM(K10:K17)</f>
        <v>34420</v>
      </c>
      <c r="L18" s="370">
        <f>SUM(L10:L17)</f>
        <v>5959</v>
      </c>
      <c r="M18" s="370">
        <f>SUM(M10:M17)</f>
        <v>107</v>
      </c>
      <c r="N18" s="356">
        <f t="shared" si="4"/>
        <v>40272</v>
      </c>
      <c r="O18" s="370">
        <f>SUM(O10:O17)</f>
        <v>0</v>
      </c>
      <c r="P18" s="370">
        <f>SUM(P10:P17)</f>
        <v>0</v>
      </c>
      <c r="Q18" s="356">
        <f t="shared" si="0"/>
        <v>40272</v>
      </c>
      <c r="R18" s="356">
        <f t="shared" si="1"/>
        <v>94668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334</v>
      </c>
      <c r="E19" s="373">
        <v>0</v>
      </c>
      <c r="F19" s="373">
        <v>0</v>
      </c>
      <c r="G19" s="356">
        <f t="shared" si="2"/>
        <v>334</v>
      </c>
      <c r="H19" s="374"/>
      <c r="I19" s="374">
        <v>0</v>
      </c>
      <c r="J19" s="356">
        <f t="shared" si="3"/>
        <v>334</v>
      </c>
      <c r="K19" s="374">
        <v>128</v>
      </c>
      <c r="L19" s="374">
        <v>12</v>
      </c>
      <c r="M19" s="374">
        <v>0</v>
      </c>
      <c r="N19" s="356">
        <f t="shared" si="4"/>
        <v>140</v>
      </c>
      <c r="O19" s="374"/>
      <c r="P19" s="374"/>
      <c r="Q19" s="356">
        <f t="shared" si="0"/>
        <v>140</v>
      </c>
      <c r="R19" s="356">
        <f t="shared" si="1"/>
        <v>194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143</v>
      </c>
      <c r="E22" s="355">
        <v>0</v>
      </c>
      <c r="F22" s="355"/>
      <c r="G22" s="356">
        <f t="shared" si="2"/>
        <v>143</v>
      </c>
      <c r="H22" s="357"/>
      <c r="I22" s="357"/>
      <c r="J22" s="356">
        <f t="shared" si="3"/>
        <v>143</v>
      </c>
      <c r="K22" s="357">
        <v>143</v>
      </c>
      <c r="L22" s="357">
        <v>0</v>
      </c>
      <c r="M22" s="357"/>
      <c r="N22" s="356">
        <f t="shared" si="4"/>
        <v>143</v>
      </c>
      <c r="O22" s="357"/>
      <c r="P22" s="357"/>
      <c r="Q22" s="356">
        <f t="shared" si="0"/>
        <v>143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389</v>
      </c>
      <c r="E23" s="355">
        <v>0</v>
      </c>
      <c r="F23" s="355">
        <v>16</v>
      </c>
      <c r="G23" s="356">
        <f t="shared" si="2"/>
        <v>373</v>
      </c>
      <c r="H23" s="357"/>
      <c r="I23" s="357"/>
      <c r="J23" s="356">
        <f t="shared" si="3"/>
        <v>373</v>
      </c>
      <c r="K23" s="357">
        <v>379</v>
      </c>
      <c r="L23" s="357">
        <v>6</v>
      </c>
      <c r="M23" s="357">
        <v>16</v>
      </c>
      <c r="N23" s="356">
        <f t="shared" si="4"/>
        <v>369</v>
      </c>
      <c r="O23" s="357"/>
      <c r="P23" s="357"/>
      <c r="Q23" s="356">
        <f t="shared" si="0"/>
        <v>369</v>
      </c>
      <c r="R23" s="356">
        <f t="shared" si="1"/>
        <v>4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178</v>
      </c>
      <c r="E25" s="355">
        <v>0</v>
      </c>
      <c r="F25" s="355">
        <v>56</v>
      </c>
      <c r="G25" s="356">
        <f t="shared" si="2"/>
        <v>122</v>
      </c>
      <c r="H25" s="357"/>
      <c r="I25" s="357"/>
      <c r="J25" s="356">
        <f t="shared" si="3"/>
        <v>122</v>
      </c>
      <c r="K25" s="357">
        <v>18</v>
      </c>
      <c r="L25" s="357">
        <v>1</v>
      </c>
      <c r="M25" s="357"/>
      <c r="N25" s="356">
        <f t="shared" si="4"/>
        <v>19</v>
      </c>
      <c r="O25" s="357"/>
      <c r="P25" s="357"/>
      <c r="Q25" s="356">
        <f t="shared" si="0"/>
        <v>19</v>
      </c>
      <c r="R25" s="356">
        <f t="shared" si="1"/>
        <v>103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740</v>
      </c>
      <c r="E26" s="381">
        <f aca="true" t="shared" si="5" ref="E26:P26">SUM(E22:E25)</f>
        <v>0</v>
      </c>
      <c r="F26" s="381">
        <f t="shared" si="5"/>
        <v>72</v>
      </c>
      <c r="G26" s="382">
        <f t="shared" si="2"/>
        <v>668</v>
      </c>
      <c r="H26" s="383">
        <f t="shared" si="5"/>
        <v>0</v>
      </c>
      <c r="I26" s="383">
        <f t="shared" si="5"/>
        <v>0</v>
      </c>
      <c r="J26" s="382">
        <f t="shared" si="3"/>
        <v>668</v>
      </c>
      <c r="K26" s="383">
        <f t="shared" si="5"/>
        <v>570</v>
      </c>
      <c r="L26" s="383">
        <f t="shared" si="5"/>
        <v>7</v>
      </c>
      <c r="M26" s="383">
        <f t="shared" si="5"/>
        <v>16</v>
      </c>
      <c r="N26" s="382">
        <f t="shared" si="4"/>
        <v>561</v>
      </c>
      <c r="O26" s="383">
        <f t="shared" si="5"/>
        <v>0</v>
      </c>
      <c r="P26" s="383">
        <f t="shared" si="5"/>
        <v>0</v>
      </c>
      <c r="Q26" s="382">
        <f t="shared" si="0"/>
        <v>561</v>
      </c>
      <c r="R26" s="382">
        <f t="shared" si="1"/>
        <v>107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151</v>
      </c>
      <c r="E38" s="355">
        <v>65</v>
      </c>
      <c r="F38" s="355">
        <v>0</v>
      </c>
      <c r="G38" s="356">
        <f t="shared" si="2"/>
        <v>216</v>
      </c>
      <c r="H38" s="395"/>
      <c r="I38" s="395"/>
      <c r="J38" s="356">
        <f t="shared" si="3"/>
        <v>216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216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181</v>
      </c>
      <c r="E39" s="369">
        <f aca="true" t="shared" si="10" ref="E39:P39">E28+E33+E38</f>
        <v>65</v>
      </c>
      <c r="F39" s="369">
        <f t="shared" si="10"/>
        <v>0</v>
      </c>
      <c r="G39" s="356">
        <f t="shared" si="2"/>
        <v>246</v>
      </c>
      <c r="H39" s="370">
        <f t="shared" si="10"/>
        <v>0</v>
      </c>
      <c r="I39" s="370">
        <f t="shared" si="10"/>
        <v>0</v>
      </c>
      <c r="J39" s="356">
        <f t="shared" si="3"/>
        <v>246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246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132685</v>
      </c>
      <c r="E41" s="402">
        <f>E18+E19+E20+E26+E39+E40</f>
        <v>5705</v>
      </c>
      <c r="F41" s="402">
        <f aca="true" t="shared" si="11" ref="F41:R41">F18+F19+F20+F26+F39+F40</f>
        <v>2202</v>
      </c>
      <c r="G41" s="402">
        <f t="shared" si="11"/>
        <v>136188</v>
      </c>
      <c r="H41" s="402">
        <f t="shared" si="11"/>
        <v>0</v>
      </c>
      <c r="I41" s="402">
        <f t="shared" si="11"/>
        <v>0</v>
      </c>
      <c r="J41" s="402">
        <f t="shared" si="11"/>
        <v>136188</v>
      </c>
      <c r="K41" s="402">
        <f t="shared" si="11"/>
        <v>35118</v>
      </c>
      <c r="L41" s="402">
        <f t="shared" si="11"/>
        <v>5978</v>
      </c>
      <c r="M41" s="402">
        <f t="shared" si="11"/>
        <v>123</v>
      </c>
      <c r="N41" s="402">
        <f t="shared" si="11"/>
        <v>40973</v>
      </c>
      <c r="O41" s="402">
        <f t="shared" si="11"/>
        <v>0</v>
      </c>
      <c r="P41" s="402">
        <f t="shared" si="11"/>
        <v>0</v>
      </c>
      <c r="Q41" s="402">
        <f t="shared" si="11"/>
        <v>40973</v>
      </c>
      <c r="R41" s="402">
        <f t="shared" si="11"/>
        <v>95215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23.25">
      <c r="A44" s="403"/>
      <c r="B44" s="584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10"/>
      <c r="L45" s="610"/>
      <c r="M45" s="610"/>
      <c r="N45" s="610"/>
      <c r="O45" s="611" t="s">
        <v>522</v>
      </c>
      <c r="P45" s="612"/>
      <c r="Q45" s="612"/>
      <c r="R45" s="612"/>
    </row>
    <row r="46" spans="1:18" ht="12">
      <c r="A46" s="332"/>
      <c r="B46" s="582">
        <f>'справка №1-БАЛАНС'!A98</f>
        <v>41682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A2:B2"/>
    <mergeCell ref="C2:H2"/>
    <mergeCell ref="A4:B4"/>
    <mergeCell ref="C4:E4"/>
    <mergeCell ref="M4:N4"/>
    <mergeCell ref="A6:B7"/>
    <mergeCell ref="C6:C7"/>
    <mergeCell ref="J6:J7"/>
    <mergeCell ref="Q6:Q7"/>
    <mergeCell ref="R6:R7"/>
    <mergeCell ref="K45:N45"/>
    <mergeCell ref="O45:R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D10:F17 H10:I17 K10:M17 O10:P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68">
      <selection activeCell="E77" sqref="E77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23" t="s">
        <v>627</v>
      </c>
      <c r="B1" s="623"/>
      <c r="C1" s="623"/>
      <c r="D1" s="623"/>
      <c r="E1" s="623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24" t="str">
        <f>'[1]справка №1-БАЛАНС'!E3</f>
        <v>"СВИЛОЗА" АД</v>
      </c>
      <c r="C3" s="625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26"/>
      <c r="C5" s="627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216</v>
      </c>
      <c r="D16" s="439"/>
      <c r="E16" s="440">
        <f t="shared" si="0"/>
        <v>216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216</v>
      </c>
      <c r="D20" s="443">
        <f>D12+D16+D17</f>
        <v>0</v>
      </c>
      <c r="E20" s="448">
        <f>E12+E16+E17</f>
        <v>216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221</v>
      </c>
      <c r="D22" s="439"/>
      <c r="E22" s="440">
        <f t="shared" si="0"/>
        <v>221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25</v>
      </c>
      <c r="D25" s="446">
        <f>SUM(D26:D28)</f>
        <v>0</v>
      </c>
      <c r="E25" s="440">
        <f>SUM(E26:E28)</f>
        <v>25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25</v>
      </c>
      <c r="D27" s="439"/>
      <c r="E27" s="440">
        <f t="shared" si="0"/>
        <v>25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10330</v>
      </c>
      <c r="D29" s="439"/>
      <c r="E29" s="440">
        <f t="shared" si="0"/>
        <v>10330</v>
      </c>
      <c r="F29" s="441"/>
    </row>
    <row r="30" spans="1:6" ht="12">
      <c r="A30" s="444" t="s">
        <v>668</v>
      </c>
      <c r="B30" s="445" t="s">
        <v>669</v>
      </c>
      <c r="C30" s="439">
        <v>695</v>
      </c>
      <c r="D30" s="439"/>
      <c r="E30" s="440">
        <f t="shared" si="0"/>
        <v>695</v>
      </c>
      <c r="F30" s="441"/>
    </row>
    <row r="31" spans="1:6" ht="12">
      <c r="A31" s="444" t="s">
        <v>670</v>
      </c>
      <c r="B31" s="445" t="s">
        <v>671</v>
      </c>
      <c r="C31" s="439">
        <v>2319</v>
      </c>
      <c r="D31" s="439"/>
      <c r="E31" s="440">
        <f t="shared" si="0"/>
        <v>2319</v>
      </c>
      <c r="F31" s="441"/>
    </row>
    <row r="32" spans="1:6" ht="12">
      <c r="A32" s="444" t="s">
        <v>672</v>
      </c>
      <c r="B32" s="445" t="s">
        <v>673</v>
      </c>
      <c r="C32" s="439"/>
      <c r="D32" s="439"/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3126</v>
      </c>
      <c r="D34" s="450">
        <f>SUM(D35:D38)</f>
        <v>0</v>
      </c>
      <c r="E34" s="451">
        <f>SUM(E35:E38)</f>
        <v>3126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>
        <v>122</v>
      </c>
      <c r="D35" s="439"/>
      <c r="E35" s="440">
        <f t="shared" si="0"/>
        <v>122</v>
      </c>
      <c r="F35" s="441"/>
    </row>
    <row r="36" spans="1:6" ht="12">
      <c r="A36" s="444" t="s">
        <v>680</v>
      </c>
      <c r="B36" s="445" t="s">
        <v>681</v>
      </c>
      <c r="C36" s="439">
        <v>3004</v>
      </c>
      <c r="D36" s="439"/>
      <c r="E36" s="440">
        <f t="shared" si="0"/>
        <v>3004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50">
        <f>SUM(C40:C43)</f>
        <v>185</v>
      </c>
      <c r="D39" s="450">
        <f>SUM(D40:D43)</f>
        <v>0</v>
      </c>
      <c r="E39" s="451">
        <f>SUM(E40:E43)</f>
        <v>185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v>185</v>
      </c>
      <c r="D43" s="439"/>
      <c r="E43" s="440">
        <f t="shared" si="0"/>
        <v>185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16680</v>
      </c>
      <c r="D44" s="443">
        <f>D25+D29+D30+D32+D31+D33+D34+D39</f>
        <v>0</v>
      </c>
      <c r="E44" s="448">
        <f>E25+E29+E30+E32+E31+E33+E34+E39</f>
        <v>16680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17117</v>
      </c>
      <c r="D45" s="452">
        <f>D44+D22+D20+D10</f>
        <v>0</v>
      </c>
      <c r="E45" s="448">
        <f>E44+E22+E20+E10</f>
        <v>17117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8861</v>
      </c>
      <c r="D53" s="452">
        <f>SUM(D54:D56)</f>
        <v>0</v>
      </c>
      <c r="E53" s="446">
        <f>C53-D53</f>
        <v>8861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v>8861</v>
      </c>
      <c r="D54" s="439"/>
      <c r="E54" s="446">
        <f>C54-D54</f>
        <v>8861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31125</v>
      </c>
      <c r="D57" s="452">
        <f>D58+D60</f>
        <v>0</v>
      </c>
      <c r="E57" s="446">
        <f t="shared" si="1"/>
        <v>31125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v>31125</v>
      </c>
      <c r="D58" s="439"/>
      <c r="E58" s="446">
        <f t="shared" si="1"/>
        <v>31125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f>139</f>
        <v>139</v>
      </c>
      <c r="D65" s="439"/>
      <c r="E65" s="446">
        <f t="shared" si="1"/>
        <v>139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40125</v>
      </c>
      <c r="D67" s="452">
        <f>D53+D57+D62+D63+D64+D65</f>
        <v>0</v>
      </c>
      <c r="E67" s="446">
        <f t="shared" si="1"/>
        <v>40125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v>1466</v>
      </c>
      <c r="D69" s="439"/>
      <c r="E69" s="446">
        <f t="shared" si="1"/>
        <v>1466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16" ht="24">
      <c r="A72" s="444" t="s">
        <v>705</v>
      </c>
      <c r="B72" s="445" t="s">
        <v>735</v>
      </c>
      <c r="C72" s="450">
        <f>SUM(C73:C75)</f>
        <v>532</v>
      </c>
      <c r="D72" s="450">
        <f>SUM(D73:D75)</f>
        <v>532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532</v>
      </c>
      <c r="D75" s="439">
        <v>532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11687</v>
      </c>
      <c r="D76" s="452">
        <f>D77+D79</f>
        <v>11687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6" ht="12">
      <c r="A77" s="444" t="s">
        <v>743</v>
      </c>
      <c r="B77" s="445" t="s">
        <v>744</v>
      </c>
      <c r="C77" s="439">
        <v>11687</v>
      </c>
      <c r="D77" s="439">
        <v>11687</v>
      </c>
      <c r="E77" s="446">
        <f t="shared" si="1"/>
        <v>0</v>
      </c>
      <c r="F77" s="43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v>0</v>
      </c>
      <c r="D79" s="439">
        <v>0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9700</v>
      </c>
      <c r="D86" s="443">
        <f>SUM(D87:D91)+D95</f>
        <v>9700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/>
      <c r="D87" s="439"/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8609</v>
      </c>
      <c r="D88" s="439">
        <v>8609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72</v>
      </c>
      <c r="D89" s="439">
        <v>72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399</v>
      </c>
      <c r="D90" s="439">
        <v>399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481</v>
      </c>
      <c r="D91" s="452">
        <f>SUM(D92:D94)</f>
        <v>481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/>
      <c r="D92" s="439"/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v>17</v>
      </c>
      <c r="D93" s="439">
        <v>17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v>464</v>
      </c>
      <c r="D94" s="439">
        <v>464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139</v>
      </c>
      <c r="D95" s="439">
        <v>139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v>481</v>
      </c>
      <c r="D96" s="439">
        <v>481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22400</v>
      </c>
      <c r="D97" s="443">
        <f>D86+D81+D76+D72+D96</f>
        <v>22400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63991</v>
      </c>
      <c r="D98" s="443">
        <f>D97+D69+D67</f>
        <v>22400</v>
      </c>
      <c r="E98" s="443">
        <f>E97+E69+E67</f>
        <v>41591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28" t="s">
        <v>798</v>
      </c>
      <c r="B108" s="628"/>
      <c r="C108" s="628"/>
      <c r="D108" s="628"/>
      <c r="E108" s="628"/>
      <c r="F108" s="628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29" t="s">
        <v>877</v>
      </c>
      <c r="B110" s="629"/>
      <c r="C110" s="629" t="s">
        <v>799</v>
      </c>
      <c r="D110" s="629"/>
      <c r="E110" s="629"/>
      <c r="F110" s="629"/>
    </row>
    <row r="111" spans="1:6" ht="12">
      <c r="A111" s="583">
        <f>'справка №1-БАЛАНС'!A98</f>
        <v>41682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2" t="s">
        <v>800</v>
      </c>
      <c r="D112" s="622"/>
      <c r="E112" s="622"/>
      <c r="F112" s="622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9">
      <selection activeCell="L23" sqref="L23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1" t="str">
        <f>'[1]справка №1-БАЛАНС'!E3</f>
        <v>"СВИЛОЗА" АД</v>
      </c>
      <c r="C4" s="631"/>
      <c r="D4" s="631"/>
      <c r="E4" s="631"/>
      <c r="F4" s="631"/>
      <c r="G4" s="632" t="s">
        <v>2</v>
      </c>
      <c r="H4" s="632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33"/>
      <c r="C6" s="633"/>
      <c r="D6" s="633"/>
      <c r="E6" s="633"/>
      <c r="F6" s="633"/>
      <c r="G6" s="634" t="s">
        <v>3</v>
      </c>
      <c r="H6" s="635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36"/>
      <c r="C31" s="636"/>
      <c r="D31" s="531" t="s">
        <v>839</v>
      </c>
      <c r="E31" s="630"/>
      <c r="F31" s="630"/>
      <c r="G31" s="630"/>
      <c r="H31" s="532" t="s">
        <v>522</v>
      </c>
      <c r="I31" s="630"/>
      <c r="J31" s="630"/>
    </row>
    <row r="32" spans="1:9" s="508" customFormat="1" ht="12">
      <c r="A32" s="582">
        <f>'справка №1-БАЛАНС'!A98</f>
        <v>41682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61">
      <selection activeCell="B8" sqref="B8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37" t="str">
        <f>'[1]справка №1-БАЛАНС'!E3</f>
        <v>"СВИЛОЗА" АД</v>
      </c>
      <c r="C5" s="637"/>
      <c r="D5" s="637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38"/>
      <c r="C7" s="638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874</v>
      </c>
      <c r="B149" s="575"/>
      <c r="C149" s="639" t="s">
        <v>871</v>
      </c>
      <c r="D149" s="639"/>
      <c r="E149" s="639"/>
      <c r="F149" s="639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39" t="s">
        <v>872</v>
      </c>
      <c r="D151" s="639"/>
      <c r="E151" s="639"/>
      <c r="F151" s="639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2014-01-29T09:36:05Z</cp:lastPrinted>
  <dcterms:created xsi:type="dcterms:W3CDTF">2000-06-29T12:02:40Z</dcterms:created>
  <dcterms:modified xsi:type="dcterms:W3CDTF">2014-02-11T13:50:35Z</dcterms:modified>
  <cp:category/>
  <cp:version/>
  <cp:contentType/>
  <cp:contentStatus/>
</cp:coreProperties>
</file>