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30" tabRatio="807" activeTab="0"/>
  </bookViews>
  <sheets>
    <sheet name="НАЧАЛО" sheetId="1" r:id="rId1"/>
    <sheet name="баланс" sheetId="2" r:id="rId2"/>
    <sheet name="ОПР" sheetId="3" r:id="rId3"/>
    <sheet name="ОПП" sheetId="4" r:id="rId4"/>
    <sheet name="СК" sheetId="5" r:id="rId5"/>
    <sheet name="-" sheetId="6" state="hidden" r:id="rId6"/>
  </sheets>
  <definedNames>
    <definedName name="_xlfn.IFERROR" hidden="1">#NAME?</definedName>
    <definedName name="AS2DocOpenMode" hidden="1">"AS2DocumentEdit"</definedName>
    <definedName name="JJ11">'-'!$M$52</definedName>
    <definedName name="JJ12">'-'!$M$53</definedName>
    <definedName name="JJ21">'-'!$M$54</definedName>
    <definedName name="JJ22">'-'!$M$55</definedName>
    <definedName name="JJ31">'-'!$M$56</definedName>
    <definedName name="JJ32">'-'!$M$57</definedName>
    <definedName name="JJ41">'-'!$M$58</definedName>
    <definedName name="JJ42">'-'!$M$59</definedName>
    <definedName name="JJ51">'-'!$M$60</definedName>
    <definedName name="JJ52">'-'!$M$61</definedName>
    <definedName name="JJ61">'-'!$M$62</definedName>
    <definedName name="JK11">'-'!$N$52</definedName>
    <definedName name="JK12">'-'!$N$53</definedName>
    <definedName name="JK21">'-'!$N$54</definedName>
    <definedName name="JK22">'-'!$N$55</definedName>
    <definedName name="JK31">'-'!$N$56</definedName>
    <definedName name="JK32">'-'!$N$57</definedName>
    <definedName name="JK41">'-'!$N$58</definedName>
    <definedName name="JK42">'-'!$N$59</definedName>
    <definedName name="JK51">'-'!$N$60</definedName>
    <definedName name="JK52">'-'!$N$61</definedName>
    <definedName name="JK61">'-'!$N$62</definedName>
    <definedName name="_xlnm.Print_Area" localSheetId="1">'баланс'!$A$1:$I$119</definedName>
    <definedName name="_xlnm.Print_Area" localSheetId="0">'НАЧАЛО'!$A$1:$I$57</definedName>
    <definedName name="_xlnm.Print_Area" localSheetId="3">'ОПП'!$A$1:$E$59</definedName>
    <definedName name="_xlnm.Print_Area" localSheetId="2">'ОПР'!$A$1:$I$65</definedName>
    <definedName name="_xlnm.Print_Area" localSheetId="4">'СК'!$A$1:$Q$74</definedName>
    <definedName name="_xlnm.Print_Titles" localSheetId="2">'ОПР'!$1:$2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'СК'!#REF!</definedName>
    <definedName name="Z_2BD2C2C3_AF9C_11D6_9CEF_00D009775214_.wvu.Cols" localSheetId="4" hidden="1">'СК'!#REF!</definedName>
    <definedName name="Z_3DF3D3DF_0C20_498D_AC7F_CE0D39724717_.wvu.Cols" localSheetId="4" hidden="1">'СК'!#REF!</definedName>
    <definedName name="Z_9656BBF7_C4A3_41EC_B0C6_A21B380E3C2F_.wvu.Cols" localSheetId="4" hidden="1">'СК'!#REF!</definedName>
    <definedName name="Z_9656BBF7_C4A3_41EC_B0C6_A21B380E3C2F_.wvu.PrintArea" localSheetId="4" hidden="1">'СК'!$A$1:$Q$65</definedName>
  </definedNames>
  <calcPr fullCalcOnLoad="1"/>
</workbook>
</file>

<file path=xl/comments1.xml><?xml version="1.0" encoding="utf-8"?>
<comments xmlns="http://schemas.openxmlformats.org/spreadsheetml/2006/main">
  <authors>
    <author>user</author>
    <author>Kalin</author>
  </authors>
  <commentList>
    <comment ref="D18" authorId="0">
      <text>
        <r>
          <rPr>
            <b/>
            <u val="single"/>
            <sz val="10"/>
            <color indexed="10"/>
            <rFont val="Tahoma"/>
            <family val="2"/>
          </rPr>
          <t>„Ейч Ел Би България” ООД</t>
        </r>
        <r>
          <rPr>
            <b/>
            <sz val="10"/>
            <color indexed="10"/>
            <rFont val="Tahoma"/>
            <family val="2"/>
          </rPr>
          <t>:
Имената на представляващия дружеството и съставителя на ГФО, както и датата на отчета се попълват само на тази страница, на указаните места!</t>
        </r>
        <r>
          <rPr>
            <b/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A2" authorId="1">
      <text>
        <r>
          <rPr>
            <b/>
            <sz val="9"/>
            <rFont val="Tahoma"/>
            <family val="2"/>
          </rPr>
          <t>"Биекс Одит" ООД:</t>
        </r>
        <r>
          <rPr>
            <sz val="9"/>
            <rFont val="Tahoma"/>
            <family val="2"/>
          </rPr>
          <t xml:space="preserve">
Попълнете дата на отчета
САМО ТУК!
В ТОЗИ ФОРМАТ!</t>
        </r>
      </text>
    </comment>
    <comment ref="O38" authorId="1">
      <text>
        <r>
          <rPr>
            <b/>
            <sz val="9"/>
            <rFont val="Tahoma"/>
            <family val="2"/>
          </rPr>
          <t xml:space="preserve">Kalin:
За годишните отчети
не по-късно от 31.03. </t>
        </r>
        <r>
          <rPr>
            <sz val="9"/>
            <rFont val="Tahoma"/>
            <family val="2"/>
          </rPr>
          <t xml:space="preserve">
</t>
        </r>
      </text>
    </comment>
    <comment ref="O36" authorId="1">
      <text>
        <r>
          <rPr>
            <b/>
            <sz val="9"/>
            <rFont val="Tahoma"/>
            <family val="2"/>
          </rPr>
          <t>Kalin: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Формат на датата:
дд.мм.гггг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<sst xmlns="http://schemas.openxmlformats.org/spreadsheetml/2006/main" count="326" uniqueCount="217">
  <si>
    <t>Данъци за въстановяване</t>
  </si>
  <si>
    <t>Нетекущи финансови активи</t>
  </si>
  <si>
    <t>Нетекущи търговски и други задължения</t>
  </si>
  <si>
    <t>Нетекущи активи</t>
  </si>
  <si>
    <t>Текущи финансови активи</t>
  </si>
  <si>
    <r>
      <t xml:space="preserve">Пасиви държани за продажба </t>
    </r>
    <r>
      <rPr>
        <sz val="11"/>
        <color indexed="10"/>
        <rFont val="Garamond"/>
        <family val="1"/>
      </rPr>
      <t>/поМСФО5/</t>
    </r>
  </si>
  <si>
    <r>
      <t xml:space="preserve">Активи държани за продажба </t>
    </r>
    <r>
      <rPr>
        <sz val="11"/>
        <color indexed="10"/>
        <rFont val="Garamond"/>
        <family val="1"/>
      </rPr>
      <t>/поМСФО5/</t>
    </r>
  </si>
  <si>
    <t>Премии от емисии</t>
  </si>
  <si>
    <t>………………….</t>
  </si>
  <si>
    <t>СОП „Ейч Ел Би България” ООД</t>
  </si>
  <si>
    <t>Собствен капитал за групата</t>
  </si>
  <si>
    <t>Текущи търговски и други задължения</t>
  </si>
  <si>
    <t>Резултат от продажба на активи държани за продажба - МСФО 5</t>
  </si>
  <si>
    <t>в т.ч. печалба/загуба за групата</t>
  </si>
  <si>
    <t>в т.ч. печалба/загуба непринадлежаща на групата</t>
  </si>
  <si>
    <t>Собствен капитал непринадлежащ на групата</t>
  </si>
  <si>
    <t>Постъпления от контрагенти</t>
  </si>
  <si>
    <t>Плащания на контрагенти</t>
  </si>
  <si>
    <t>Потоци за персонал и социално осигуряване</t>
  </si>
  <si>
    <t>Други парични потоци от оперативна дейност</t>
  </si>
  <si>
    <t>Други парични потоци от инвестиционна дейност</t>
  </si>
  <si>
    <t>Парични потоци от инвестиционна дейност</t>
  </si>
  <si>
    <t xml:space="preserve">Платени корпоративни данъци </t>
  </si>
  <si>
    <t>Покупки на финансови активи</t>
  </si>
  <si>
    <t>Постъпления от продажба на финансови активи</t>
  </si>
  <si>
    <t>Получени суми за погасяване на предоставени заеми и депозити на трети страни</t>
  </si>
  <si>
    <t>Платени суми при предоставяне на заеми и депозите на трети страни</t>
  </si>
  <si>
    <t>Нето парични средства използвани в инвестиционната дейност</t>
  </si>
  <si>
    <t>Нетно изменение на паричните средства и паричните еквиваленти</t>
  </si>
  <si>
    <t>Получени лихви по предоставени заеми и депозите на трети страни</t>
  </si>
  <si>
    <t>Постъпления по получени заеми и депозити</t>
  </si>
  <si>
    <t>Плащания по получени заеми и депозити</t>
  </si>
  <si>
    <t>Платени такси и лихви върху заеми и депозити</t>
  </si>
  <si>
    <t>Общо нетекущи  пасиви</t>
  </si>
  <si>
    <t>Общо текущи пасиви</t>
  </si>
  <si>
    <t>Имоти, съоръжения, мишини и оборудване</t>
  </si>
  <si>
    <t>Плащания при бизнескомбинации-придобивания</t>
  </si>
  <si>
    <t>Получени комисионни, дивиденти и др.</t>
  </si>
  <si>
    <t>КК</t>
  </si>
  <si>
    <t>КОНСОЛИДИРАН</t>
  </si>
  <si>
    <t>Собствен капитал на МУ</t>
  </si>
  <si>
    <t>Разпределение на резерви</t>
  </si>
  <si>
    <t>ОПР</t>
  </si>
  <si>
    <t>НАЧАЛО</t>
  </si>
  <si>
    <t>баланс</t>
  </si>
  <si>
    <t>ОПП</t>
  </si>
  <si>
    <t>СК</t>
  </si>
  <si>
    <t>в четирите форми или Функция HIDE</t>
  </si>
  <si>
    <t>да се скрият. Използвайте клавишите за скриване и показване на редове и колони</t>
  </si>
  <si>
    <t xml:space="preserve">6. Във файла има интегрирани Макроси/Macros. За да работят клавишите </t>
  </si>
  <si>
    <t>за скриване и показване на редовете и колоните трябва да разрешите Макросите.</t>
  </si>
  <si>
    <r>
      <rPr>
        <b/>
        <sz val="10"/>
        <rFont val="Garamond"/>
        <family val="1"/>
      </rPr>
      <t>Tools</t>
    </r>
    <r>
      <rPr>
        <sz val="10"/>
        <rFont val="Garamond"/>
        <family val="1"/>
      </rPr>
      <t>-</t>
    </r>
    <r>
      <rPr>
        <b/>
        <sz val="10"/>
        <rFont val="Garamond"/>
        <family val="1"/>
      </rPr>
      <t>&gt;Macro</t>
    </r>
    <r>
      <rPr>
        <sz val="10"/>
        <rFont val="Garamond"/>
        <family val="1"/>
      </rPr>
      <t>-</t>
    </r>
    <r>
      <rPr>
        <b/>
        <sz val="10"/>
        <rFont val="Garamond"/>
        <family val="1"/>
      </rPr>
      <t>&gt;Security</t>
    </r>
    <r>
      <rPr>
        <sz val="10"/>
        <rFont val="Garamond"/>
        <family val="1"/>
      </rPr>
      <t xml:space="preserve">, в появилия се прозорец избирате </t>
    </r>
    <r>
      <rPr>
        <b/>
        <sz val="10"/>
        <rFont val="Garamond"/>
        <family val="1"/>
      </rPr>
      <t>Medium</t>
    </r>
    <r>
      <rPr>
        <sz val="10"/>
        <rFont val="Garamond"/>
        <family val="1"/>
      </rPr>
      <t xml:space="preserve"> и </t>
    </r>
    <r>
      <rPr>
        <b/>
        <sz val="10"/>
        <rFont val="Garamond"/>
        <family val="1"/>
      </rPr>
      <t>ОК</t>
    </r>
    <r>
      <rPr>
        <sz val="10"/>
        <rFont val="Garamond"/>
        <family val="1"/>
      </rPr>
      <t xml:space="preserve">. </t>
    </r>
  </si>
  <si>
    <r>
      <t xml:space="preserve">При влизане във файла се появява прозорец, в който избирате </t>
    </r>
    <r>
      <rPr>
        <b/>
        <sz val="10"/>
        <rFont val="Garamond"/>
        <family val="1"/>
      </rPr>
      <t>Enable Macros</t>
    </r>
    <r>
      <rPr>
        <sz val="10"/>
        <rFont val="Garamond"/>
        <family val="1"/>
      </rPr>
      <t>.</t>
    </r>
  </si>
  <si>
    <r>
      <t xml:space="preserve">между менюто и таблицата) избирате бутона </t>
    </r>
    <r>
      <rPr>
        <b/>
        <sz val="10"/>
        <rFont val="Garamond"/>
        <family val="1"/>
      </rPr>
      <t>Options</t>
    </r>
    <r>
      <rPr>
        <sz val="10"/>
        <rFont val="Garamond"/>
        <family val="1"/>
      </rPr>
      <t xml:space="preserve">. В появилия се прозорец </t>
    </r>
  </si>
  <si>
    <r>
      <t xml:space="preserve">избирате </t>
    </r>
    <r>
      <rPr>
        <b/>
        <sz val="10"/>
        <rFont val="Garamond"/>
        <family val="1"/>
      </rPr>
      <t>Enable this content</t>
    </r>
    <r>
      <rPr>
        <sz val="10"/>
        <rFont val="Garamond"/>
        <family val="1"/>
      </rPr>
      <t xml:space="preserve"> и </t>
    </r>
    <r>
      <rPr>
        <b/>
        <sz val="10"/>
        <rFont val="Garamond"/>
        <family val="1"/>
      </rPr>
      <t>ОК</t>
    </r>
    <r>
      <rPr>
        <sz val="10"/>
        <rFont val="Garamond"/>
        <family val="1"/>
      </rPr>
      <t>.</t>
    </r>
  </si>
  <si>
    <t>7. Всички справки са странирани за разпечатване.</t>
  </si>
  <si>
    <t>и отчет за собствения капитал. Останалите справки се копират в оповестяването.</t>
  </si>
  <si>
    <t>8. От отчета се разпечатват заглавната страница /настоящата/, ОПР, баланс, ОПП</t>
  </si>
  <si>
    <t>КП</t>
  </si>
  <si>
    <t xml:space="preserve">Въведете страниците ТУК!        </t>
  </si>
  <si>
    <t xml:space="preserve">От: </t>
  </si>
  <si>
    <t xml:space="preserve">До: </t>
  </si>
  <si>
    <t>вид отчет</t>
  </si>
  <si>
    <t>Въведете име на одитора на Консолидационния Пакет ТУК!</t>
  </si>
  <si>
    <t xml:space="preserve">КОНСОЛИДИРАН </t>
  </si>
  <si>
    <t xml:space="preserve">КОНСОЛИДАЦИОНЕН ПАКЕТ - </t>
  </si>
  <si>
    <r>
      <t xml:space="preserve">  </t>
    </r>
    <r>
      <rPr>
        <u val="single"/>
        <sz val="10"/>
        <rFont val="Garamond"/>
        <family val="1"/>
      </rPr>
      <t>За Excel 2007</t>
    </r>
    <r>
      <rPr>
        <sz val="10"/>
        <rFont val="Garamond"/>
        <family val="1"/>
      </rPr>
      <t xml:space="preserve"> - след като влезете във файла, в полето </t>
    </r>
    <r>
      <rPr>
        <b/>
        <sz val="10"/>
        <rFont val="Garamond"/>
        <family val="1"/>
      </rPr>
      <t>Security Warning</t>
    </r>
    <r>
      <rPr>
        <sz val="10"/>
        <rFont val="Garamond"/>
        <family val="1"/>
      </rPr>
      <t xml:space="preserve"> (намира се </t>
    </r>
  </si>
  <si>
    <r>
      <t xml:space="preserve">  </t>
    </r>
    <r>
      <rPr>
        <u val="single"/>
        <sz val="10"/>
        <rFont val="Garamond"/>
        <family val="1"/>
      </rPr>
      <t>За всички версии на Excel до версия 2003</t>
    </r>
    <r>
      <rPr>
        <sz val="10"/>
        <rFont val="Garamond"/>
        <family val="1"/>
      </rPr>
      <t xml:space="preserve"> - от менюто избирате </t>
    </r>
  </si>
  <si>
    <t>Резултат от продажба на дълготрайни активи</t>
  </si>
  <si>
    <t>Безвъзмездни средства предоставени от държавата</t>
  </si>
  <si>
    <t>Приходи от безвъзмездни средства предоставени от държавата</t>
  </si>
  <si>
    <t>Нетекущи провизии</t>
  </si>
  <si>
    <t>Текущи провизии</t>
  </si>
  <si>
    <t>СОБСТВЕН КАПИТАЛ И ПАСИВ</t>
  </si>
  <si>
    <t>Сума на собствен капитал и пасива</t>
  </si>
  <si>
    <t>Изберете вид на отчета в зависимост от това дали дружеството изготвя</t>
  </si>
  <si>
    <t>консолидиран отчет или не. В случай, че дружеството изготвя консолидиран</t>
  </si>
  <si>
    <t>отчет въведете "К", ако не изготвя въведете "С"!</t>
  </si>
  <si>
    <t>9. Файлът работи коректно до:</t>
  </si>
  <si>
    <t>Дял от резултати на асоциирани предприятия</t>
  </si>
  <si>
    <t>Инвестиции отчетени по метода на собствения капитал</t>
  </si>
  <si>
    <t>Изменения от прилагане на метода на собствения капитал</t>
  </si>
  <si>
    <t>Приложение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</si>
  <si>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</si>
  <si>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</si>
  <si>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</si>
  <si>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</si>
  <si>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АКТИВ</t>
  </si>
  <si>
    <t>Общи резерви</t>
  </si>
  <si>
    <t>Курсови разлики</t>
  </si>
  <si>
    <t>Покупки на дълготрайни активи</t>
  </si>
  <si>
    <t>Постъпления от продажба на дълготрайни активи</t>
  </si>
  <si>
    <t>Парични средства и парични еквиваленти на 1 януари</t>
  </si>
  <si>
    <t>Съставител:</t>
  </si>
  <si>
    <t>BGN'000</t>
  </si>
  <si>
    <t>Разходи по икономически елементи</t>
  </si>
  <si>
    <t>Суми с корективен характер</t>
  </si>
  <si>
    <t>Дълготрайни нематериални активи</t>
  </si>
  <si>
    <t>Материални запаси</t>
  </si>
  <si>
    <t>Собствен капитал</t>
  </si>
  <si>
    <t>Основен капитал</t>
  </si>
  <si>
    <t>Други резерви</t>
  </si>
  <si>
    <t>Общо собствен капитал</t>
  </si>
  <si>
    <t>Резерви</t>
  </si>
  <si>
    <t>Финансов резултат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</si>
  <si>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</si>
  <si>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</si>
  <si>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</si>
  <si>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</si>
  <si>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Други парични потоци от финансова дейност</t>
  </si>
  <si>
    <t>Текущи активи</t>
  </si>
  <si>
    <t>Данъчни задължения</t>
  </si>
  <si>
    <t>Платени данъци (без корпоративни данъци )</t>
  </si>
  <si>
    <t>Парични потоци по финансов лизинг</t>
  </si>
  <si>
    <t>Други</t>
  </si>
  <si>
    <t>Активи по отсрочени данъци</t>
  </si>
  <si>
    <t>Инвестиционни имоти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</si>
  <si>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</si>
  <si>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</si>
  <si>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>Текущ данък</t>
  </si>
  <si>
    <t>Разход за данъци</t>
  </si>
  <si>
    <t>Промени в наличностите на готовата продукция и незавършено производство</t>
  </si>
  <si>
    <t>Използвани суровини, материали и консумативи</t>
  </si>
  <si>
    <t>Нетекущи  пасиви</t>
  </si>
  <si>
    <t>Текущи пасиви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</si>
  <si>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</si>
  <si>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</si>
  <si>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Дивиденти</t>
  </si>
  <si>
    <t xml:space="preserve">Общо приходи </t>
  </si>
  <si>
    <t xml:space="preserve">Приходи </t>
  </si>
  <si>
    <t>Продукция</t>
  </si>
  <si>
    <t>Услуги</t>
  </si>
  <si>
    <t>Стоки</t>
  </si>
  <si>
    <t xml:space="preserve">Разходи </t>
  </si>
  <si>
    <t>Обезценка на активи</t>
  </si>
  <si>
    <t>Разходи капитализирани в стойността на активи</t>
  </si>
  <si>
    <t xml:space="preserve">Финансови разходи </t>
  </si>
  <si>
    <t>Финансови приходи</t>
  </si>
  <si>
    <t>Нетни приходи от продажби</t>
  </si>
  <si>
    <t>Печалба/загуба преди разходи за данъци</t>
  </si>
  <si>
    <t>Изменение за сметка на отсрочени данъци</t>
  </si>
  <si>
    <t>Печалба/загуба</t>
  </si>
  <si>
    <t>Общо разходи без разходи за данъци</t>
  </si>
  <si>
    <t>Печалба/загуба за годината</t>
  </si>
  <si>
    <t>Регистриран капитал</t>
  </si>
  <si>
    <t>Невнесен капитал</t>
  </si>
  <si>
    <t>Изкупени собствени акции</t>
  </si>
  <si>
    <t>Нетекущи финансови пасиви</t>
  </si>
  <si>
    <t>Приходи от правителствени дарения</t>
  </si>
  <si>
    <t>Текущи финансови пасиви</t>
  </si>
  <si>
    <t>Задължения към персонала</t>
  </si>
  <si>
    <t>Постъпления от емитирането на акции или други капиталови инструменти</t>
  </si>
  <si>
    <t>Плащания за обратно изкупуване на акции или други капиталови инструменти</t>
  </si>
  <si>
    <t>Плащания от разпределение на печалба</t>
  </si>
  <si>
    <t>Парични  потоци от оперативна дейност</t>
  </si>
  <si>
    <t>Нетни парични потоци от оперативна дейност</t>
  </si>
  <si>
    <t>Парични потоци от финансова дейност</t>
  </si>
  <si>
    <t>Нето парични средства използвани във финансовата дейност</t>
  </si>
  <si>
    <t>Печалба/Загуба от преоценка на имоти</t>
  </si>
  <si>
    <t>Положителни (отрицателни) разлики при оценка на финансови инструменти отнесени в капитала</t>
  </si>
  <si>
    <t>Оценки на финансови ативи прехвърлени към печалба или загуба при продажба</t>
  </si>
  <si>
    <t>Обща сума на признати приходи и разходи  в капитала за периода</t>
  </si>
  <si>
    <t>Емисия на  капитал</t>
  </si>
  <si>
    <t>Признати приходи и разходи  в капитала за периода</t>
  </si>
  <si>
    <t>Печалба /загуба за периода</t>
  </si>
  <si>
    <t>Разпределение на печалба</t>
  </si>
  <si>
    <t>Разходи за заплати и осигуровки на персонала</t>
  </si>
  <si>
    <t>Натрупани печалби/загуби</t>
  </si>
  <si>
    <t>Представляващ:</t>
  </si>
  <si>
    <t>УКАЗАНИЯ ЗА ПОПЪЛВАНЕ НА ОТЧЕТА</t>
  </si>
  <si>
    <t>1. Всички общи данни се попълват само в таблицата по-долу!</t>
  </si>
  <si>
    <t>2. Данните за дружеството, представляващия, съставителя, датата на отчета</t>
  </si>
  <si>
    <t>3. В отчета има засечки между всички компоненти, при евентуално разми-</t>
  </si>
  <si>
    <t>ване в данните по съответните справки ще се появят предупреждуния.</t>
  </si>
  <si>
    <t>4. Ненужните редове по четирите форми и приложенията НЕ ТРЯБВА</t>
  </si>
  <si>
    <t>ДА СЕ ТРИЯТ! В случай, че има излишни /празни/ редове, то те трябва</t>
  </si>
  <si>
    <t>5. Допълнителни редове НЕ ТРЯБВА ДА СЕ ПРИБАВЯТ!</t>
  </si>
  <si>
    <t>Въведете име на Дружеството ТУК!</t>
  </si>
  <si>
    <t>Избор на вид отчет ТУК!</t>
  </si>
  <si>
    <t>Въведете дата на отчета ТУК!</t>
  </si>
  <si>
    <t>Въведете дата на съставяне ТУК!</t>
  </si>
  <si>
    <t>ПОЛЕТА! Данните се разнасят автоматично по компонентите.</t>
  </si>
  <si>
    <t>и броя на страниците се попълват САМО ТУК, САМО В ЖЪЛТИТЕ</t>
  </si>
  <si>
    <t>Въведете име на съставителя ТУК!</t>
  </si>
  <si>
    <t>Въведете име на управителя ТУК!</t>
  </si>
  <si>
    <t>Въведете име на одитора ТУК!</t>
  </si>
  <si>
    <t>Въведете броя на страниците на оповестяването в полето по-долу!</t>
  </si>
  <si>
    <t>Първата страница на оповестяването следва да започва след тази на</t>
  </si>
  <si>
    <t>отчета за собствения капитал - №6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</si>
  <si>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</si>
  <si>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</si>
  <si>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</si>
  <si>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</si>
  <si>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</si>
  <si>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</si>
  <si>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</si>
  <si>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</si>
  <si>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</si>
  <si>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</si>
  <si>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</si>
  <si>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</si>
  <si>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Въведете град на регистрация ТУК!</t>
  </si>
  <si>
    <t>София</t>
  </si>
  <si>
    <t>"Железопътна Инфраструктура - Холдингово Дружество" АД</t>
  </si>
  <si>
    <t>Явор Хайтов, Красимир Сланчев</t>
  </si>
  <si>
    <t>Ралица Кайджиева</t>
  </si>
  <si>
    <t>Пасиви по отсрочени данъци</t>
  </si>
  <si>
    <t>К</t>
  </si>
  <si>
    <t>С</t>
  </si>
  <si>
    <t>САМОСТОЯТЕЛЕН</t>
  </si>
  <si>
    <t>ИНДИВИДУАЛЕН</t>
  </si>
  <si>
    <t>Общо текущи активи</t>
  </si>
  <si>
    <t>Общо нетекущи активи</t>
  </si>
  <si>
    <t>Нетекущи търговски и други вземания</t>
  </si>
  <si>
    <t>Търговска репутация</t>
  </si>
  <si>
    <t>Текущи търговски и други вземания</t>
  </si>
  <si>
    <t>Сума на актива</t>
  </si>
</sst>
</file>

<file path=xl/styles.xml><?xml version="1.0" encoding="utf-8"?>
<styleSheet xmlns="http://schemas.openxmlformats.org/spreadsheetml/2006/main">
  <numFmts count="6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;\-#,##0\ "/>
    <numFmt numFmtId="200" formatCode="[$-F800]dddd\,\ mmmm\ dd\,\ yyyy"/>
    <numFmt numFmtId="201" formatCode="[$-402]dd\ mmmm\ yyyy\ &quot;г.&quot;;@"/>
    <numFmt numFmtId="202" formatCode="dd\.mm\.yyyy\ &quot;г.&quot;;@"/>
    <numFmt numFmtId="203" formatCode="hh:mm\ &quot;ч.&quot;"/>
    <numFmt numFmtId="204" formatCode="dd\.m\.yyyy\ &quot;г.&quot;;@"/>
    <numFmt numFmtId="205" formatCode="d\.m\.yyyy\ &quot;г.&quot;;@"/>
    <numFmt numFmtId="206" formatCode="0.000"/>
    <numFmt numFmtId="207" formatCode="0.0000000"/>
    <numFmt numFmtId="208" formatCode="0.000000"/>
    <numFmt numFmtId="209" formatCode="0.00000"/>
    <numFmt numFmtId="210" formatCode="0.0000"/>
    <numFmt numFmtId="211" formatCode="_(* #,##0.0_);_(* \(#,##0.0\);_(* &quot;-&quot;??_);_(@_)"/>
    <numFmt numFmtId="212" formatCode="_(* #,##0.000_);_(* \(#,##0.000\);_(* &quot;-&quot;??_);_(@_)"/>
    <numFmt numFmtId="213" formatCode="#,##0.0"/>
    <numFmt numFmtId="214" formatCode="_-* #,##0.00,&quot;лв&quot;_-;\-* #,##0.00,&quot;лв&quot;_-;_-* \-??&quot; лв&quot;_-;_-@_-"/>
    <numFmt numFmtId="215" formatCode="_-* #,##0\ &quot; &quot;_-;\-* #,##0\ &quot; &quot;_-;_-* &quot;-&quot;\ &quot; &quot;_-;_-@_-"/>
    <numFmt numFmtId="216" formatCode="_(* #,##0.0_);_(* \(#,##0.0\);_(* &quot;-&quot;_);_(@_)"/>
    <numFmt numFmtId="217" formatCode="_(* #,##0.00_);_(* \(#,##0.00\);_(* &quot;-&quot;_);_(@_)"/>
    <numFmt numFmtId="218" formatCode="dd/m/yyyy\ &quot;г.&quot;;@"/>
  </numFmts>
  <fonts count="68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8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b/>
      <i/>
      <sz val="11"/>
      <name val="Garamond"/>
      <family val="1"/>
    </font>
    <font>
      <sz val="11"/>
      <color indexed="8"/>
      <name val="Garamond"/>
      <family val="1"/>
    </font>
    <font>
      <b/>
      <i/>
      <sz val="11"/>
      <color indexed="8"/>
      <name val="Garamond"/>
      <family val="1"/>
    </font>
    <font>
      <b/>
      <i/>
      <sz val="10"/>
      <name val="Garamond"/>
      <family val="1"/>
    </font>
    <font>
      <sz val="14"/>
      <name val="Garamond"/>
      <family val="1"/>
    </font>
    <font>
      <sz val="14"/>
      <color indexed="10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i/>
      <sz val="11"/>
      <name val="Garamond"/>
      <family val="1"/>
    </font>
    <font>
      <b/>
      <sz val="14"/>
      <name val="Garamond"/>
      <family val="1"/>
    </font>
    <font>
      <i/>
      <sz val="24"/>
      <name val="Garamond"/>
      <family val="1"/>
    </font>
    <font>
      <b/>
      <sz val="11"/>
      <color indexed="12"/>
      <name val="Garamond"/>
      <family val="1"/>
    </font>
    <font>
      <sz val="8"/>
      <name val="Garamond"/>
      <family val="1"/>
    </font>
    <font>
      <b/>
      <sz val="11"/>
      <color indexed="10"/>
      <name val="Garamond"/>
      <family val="1"/>
    </font>
    <font>
      <b/>
      <i/>
      <u val="single"/>
      <sz val="20"/>
      <name val="Garamond"/>
      <family val="1"/>
    </font>
    <font>
      <i/>
      <sz val="23"/>
      <name val="Garamond"/>
      <family val="1"/>
    </font>
    <font>
      <b/>
      <u val="single"/>
      <sz val="10"/>
      <color indexed="10"/>
      <name val="Tahoma"/>
      <family val="2"/>
    </font>
    <font>
      <sz val="10"/>
      <name val="TmsCyr"/>
      <family val="0"/>
    </font>
    <font>
      <sz val="1"/>
      <name val="Arial"/>
      <family val="2"/>
    </font>
    <font>
      <u val="single"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Garamond"/>
      <family val="1"/>
    </font>
    <font>
      <sz val="10"/>
      <color indexed="12"/>
      <name val="Garamond"/>
      <family val="1"/>
    </font>
    <font>
      <sz val="10"/>
      <color indexed="9"/>
      <name val="Garamond"/>
      <family val="1"/>
    </font>
    <font>
      <sz val="11"/>
      <color indexed="9"/>
      <name val="Garamond"/>
      <family val="1"/>
    </font>
    <font>
      <b/>
      <i/>
      <sz val="10"/>
      <color indexed="12"/>
      <name val="Garamond"/>
      <family val="1"/>
    </font>
    <font>
      <sz val="9"/>
      <color indexed="9"/>
      <name val="Arial"/>
      <family val="2"/>
    </font>
    <font>
      <sz val="9"/>
      <color indexed="9"/>
      <name val="Garamond"/>
      <family val="1"/>
    </font>
    <font>
      <sz val="8"/>
      <color indexed="9"/>
      <name val="Garamond"/>
      <family val="1"/>
    </font>
    <font>
      <sz val="1"/>
      <color indexed="55"/>
      <name val="Arial"/>
      <family val="2"/>
    </font>
    <font>
      <sz val="10"/>
      <color indexed="10"/>
      <name val="Garamond"/>
      <family val="1"/>
    </font>
    <font>
      <sz val="10"/>
      <color indexed="55"/>
      <name val="Garamond"/>
      <family val="1"/>
    </font>
    <font>
      <sz val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15" fontId="0" fillId="0" borderId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7" borderId="1" applyNumberFormat="0" applyAlignment="0" applyProtection="0"/>
    <xf numFmtId="0" fontId="49" fillId="0" borderId="6" applyNumberFormat="0" applyFill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51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11" fillId="21" borderId="0" xfId="64" applyNumberFormat="1" applyFont="1" applyFill="1" applyBorder="1" applyAlignment="1" applyProtection="1">
      <alignment vertical="top"/>
      <protection locked="0"/>
    </xf>
    <xf numFmtId="0" fontId="19" fillId="0" borderId="0" xfId="64" applyNumberFormat="1" applyFont="1" applyFill="1" applyBorder="1" applyAlignment="1" applyProtection="1">
      <alignment horizontal="right" vertical="top"/>
      <protection locked="0"/>
    </xf>
    <xf numFmtId="0" fontId="22" fillId="0" borderId="0" xfId="64" applyNumberFormat="1" applyFont="1" applyFill="1" applyBorder="1" applyAlignment="1" applyProtection="1">
      <alignment vertical="center"/>
      <protection/>
    </xf>
    <xf numFmtId="0" fontId="12" fillId="24" borderId="0" xfId="64" applyNumberFormat="1" applyFont="1" applyFill="1" applyBorder="1" applyAlignment="1" applyProtection="1">
      <alignment vertical="center"/>
      <protection/>
    </xf>
    <xf numFmtId="0" fontId="11" fillId="24" borderId="0" xfId="64" applyNumberFormat="1" applyFont="1" applyFill="1" applyBorder="1" applyAlignment="1" applyProtection="1">
      <alignment vertical="center"/>
      <protection/>
    </xf>
    <xf numFmtId="0" fontId="11" fillId="24" borderId="0" xfId="64" applyNumberFormat="1" applyFont="1" applyFill="1" applyBorder="1" applyAlignment="1" applyProtection="1">
      <alignment vertical="top"/>
      <protection/>
    </xf>
    <xf numFmtId="193" fontId="31" fillId="24" borderId="0" xfId="42" applyNumberFormat="1" applyFont="1" applyFill="1" applyBorder="1" applyAlignment="1" applyProtection="1">
      <alignment horizontal="left" vertical="center"/>
      <protection/>
    </xf>
    <xf numFmtId="193" fontId="31" fillId="24" borderId="0" xfId="42" applyNumberFormat="1" applyFont="1" applyFill="1" applyBorder="1" applyAlignment="1" applyProtection="1">
      <alignment horizontal="right" vertical="center"/>
      <protection/>
    </xf>
    <xf numFmtId="193" fontId="31" fillId="24" borderId="0" xfId="42" applyNumberFormat="1" applyFont="1" applyFill="1" applyBorder="1" applyAlignment="1" applyProtection="1">
      <alignment vertical="center"/>
      <protection/>
    </xf>
    <xf numFmtId="193" fontId="29" fillId="24" borderId="0" xfId="42" applyNumberFormat="1" applyFont="1" applyFill="1" applyBorder="1" applyAlignment="1" applyProtection="1">
      <alignment horizontal="right" vertical="center"/>
      <protection/>
    </xf>
    <xf numFmtId="0" fontId="55" fillId="24" borderId="0" xfId="64" applyNumberFormat="1" applyFont="1" applyFill="1" applyBorder="1" applyAlignment="1" applyProtection="1">
      <alignment vertical="center"/>
      <protection/>
    </xf>
    <xf numFmtId="193" fontId="29" fillId="24" borderId="0" xfId="42" applyNumberFormat="1" applyFont="1" applyFill="1" applyBorder="1" applyAlignment="1" applyProtection="1">
      <alignment vertical="center"/>
      <protection/>
    </xf>
    <xf numFmtId="0" fontId="11" fillId="21" borderId="0" xfId="0" applyFont="1" applyFill="1" applyBorder="1" applyAlignment="1" applyProtection="1">
      <alignment/>
      <protection locked="0"/>
    </xf>
    <xf numFmtId="0" fontId="11" fillId="21" borderId="0" xfId="0" applyFont="1" applyFill="1" applyBorder="1" applyAlignment="1" applyProtection="1">
      <alignment horizontal="left" vertical="center"/>
      <protection locked="0"/>
    </xf>
    <xf numFmtId="202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21" borderId="0" xfId="0" applyFont="1" applyFill="1" applyBorder="1" applyAlignment="1" applyProtection="1">
      <alignment vertical="center"/>
      <protection locked="0"/>
    </xf>
    <xf numFmtId="193" fontId="11" fillId="0" borderId="10" xfId="0" applyNumberFormat="1" applyFont="1" applyFill="1" applyBorder="1" applyAlignment="1" applyProtection="1">
      <alignment/>
      <protection locked="0"/>
    </xf>
    <xf numFmtId="193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93" fontId="11" fillId="0" borderId="0" xfId="0" applyNumberFormat="1" applyFont="1" applyFill="1" applyBorder="1" applyAlignment="1" applyProtection="1">
      <alignment/>
      <protection locked="0"/>
    </xf>
    <xf numFmtId="193" fontId="11" fillId="0" borderId="0" xfId="65" applyNumberFormat="1" applyFont="1" applyFill="1" applyBorder="1" applyAlignment="1" applyProtection="1">
      <alignment vertical="center"/>
      <protection locked="0"/>
    </xf>
    <xf numFmtId="177" fontId="11" fillId="0" borderId="0" xfId="65" applyNumberFormat="1" applyFont="1" applyFill="1" applyBorder="1" applyAlignment="1" applyProtection="1">
      <alignment vertical="center"/>
      <protection locked="0"/>
    </xf>
    <xf numFmtId="193" fontId="11" fillId="0" borderId="0" xfId="0" applyNumberFormat="1" applyFont="1" applyFill="1" applyBorder="1" applyAlignment="1" applyProtection="1">
      <alignment/>
      <protection locked="0"/>
    </xf>
    <xf numFmtId="193" fontId="10" fillId="0" borderId="10" xfId="0" applyNumberFormat="1" applyFont="1" applyFill="1" applyBorder="1" applyAlignment="1" applyProtection="1">
      <alignment/>
      <protection locked="0"/>
    </xf>
    <xf numFmtId="177" fontId="10" fillId="0" borderId="10" xfId="65" applyNumberFormat="1" applyFont="1" applyFill="1" applyBorder="1" applyAlignment="1" applyProtection="1">
      <alignment vertical="center"/>
      <protection locked="0"/>
    </xf>
    <xf numFmtId="193" fontId="12" fillId="0" borderId="0" xfId="0" applyNumberFormat="1" applyFont="1" applyBorder="1" applyAlignment="1" applyProtection="1">
      <alignment/>
      <protection locked="0"/>
    </xf>
    <xf numFmtId="177" fontId="11" fillId="0" borderId="10" xfId="65" applyNumberFormat="1" applyFont="1" applyFill="1" applyBorder="1" applyAlignment="1" applyProtection="1">
      <alignment vertical="center"/>
      <protection locked="0"/>
    </xf>
    <xf numFmtId="193" fontId="11" fillId="0" borderId="0" xfId="0" applyNumberFormat="1" applyFont="1" applyBorder="1" applyAlignment="1" applyProtection="1">
      <alignment/>
      <protection locked="0"/>
    </xf>
    <xf numFmtId="0" fontId="18" fillId="21" borderId="0" xfId="62" applyFont="1" applyFill="1" applyBorder="1" applyAlignment="1" applyProtection="1">
      <alignment vertical="center"/>
      <protection locked="0"/>
    </xf>
    <xf numFmtId="0" fontId="16" fillId="21" borderId="0" xfId="0" applyFont="1" applyFill="1" applyBorder="1" applyAlignment="1" applyProtection="1">
      <alignment/>
      <protection locked="0"/>
    </xf>
    <xf numFmtId="0" fontId="11" fillId="21" borderId="0" xfId="0" applyFont="1" applyFill="1" applyBorder="1" applyAlignment="1" applyProtection="1">
      <alignment horizontal="center" wrapText="1"/>
      <protection locked="0"/>
    </xf>
    <xf numFmtId="0" fontId="11" fillId="21" borderId="0" xfId="0" applyFont="1" applyFill="1" applyBorder="1" applyAlignment="1" applyProtection="1">
      <alignment horizontal="center"/>
      <protection locked="0"/>
    </xf>
    <xf numFmtId="0" fontId="10" fillId="21" borderId="0" xfId="62" applyFont="1" applyFill="1" applyBorder="1" applyAlignment="1" applyProtection="1">
      <alignment vertical="center"/>
      <protection locked="0"/>
    </xf>
    <xf numFmtId="0" fontId="10" fillId="21" borderId="0" xfId="63" applyFont="1" applyFill="1" applyAlignment="1" applyProtection="1">
      <alignment horizontal="right"/>
      <protection locked="0"/>
    </xf>
    <xf numFmtId="0" fontId="10" fillId="21" borderId="0" xfId="62" applyFont="1" applyFill="1" applyBorder="1" applyAlignment="1" applyProtection="1">
      <alignment horizontal="right" vertical="center"/>
      <protection locked="0"/>
    </xf>
    <xf numFmtId="0" fontId="10" fillId="21" borderId="0" xfId="0" applyFont="1" applyFill="1" applyBorder="1" applyAlignment="1" applyProtection="1">
      <alignment/>
      <protection locked="0"/>
    </xf>
    <xf numFmtId="0" fontId="10" fillId="21" borderId="0" xfId="0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202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/>
      <protection/>
    </xf>
    <xf numFmtId="193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wrapText="1"/>
      <protection/>
    </xf>
    <xf numFmtId="3" fontId="11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193" fontId="11" fillId="0" borderId="0" xfId="0" applyNumberFormat="1" applyFont="1" applyFill="1" applyBorder="1" applyAlignment="1" applyProtection="1">
      <alignment/>
      <protection/>
    </xf>
    <xf numFmtId="193" fontId="10" fillId="0" borderId="0" xfId="0" applyNumberFormat="1" applyFont="1" applyFill="1" applyBorder="1" applyAlignment="1" applyProtection="1">
      <alignment/>
      <protection/>
    </xf>
    <xf numFmtId="0" fontId="10" fillId="22" borderId="10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193" fontId="11" fillId="22" borderId="10" xfId="0" applyNumberFormat="1" applyFont="1" applyFill="1" applyBorder="1" applyAlignment="1" applyProtection="1">
      <alignment/>
      <protection/>
    </xf>
    <xf numFmtId="193" fontId="10" fillId="22" borderId="10" xfId="0" applyNumberFormat="1" applyFont="1" applyFill="1" applyBorder="1" applyAlignment="1" applyProtection="1">
      <alignment/>
      <protection/>
    </xf>
    <xf numFmtId="193" fontId="10" fillId="0" borderId="0" xfId="65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193" fontId="10" fillId="0" borderId="0" xfId="0" applyNumberFormat="1" applyFont="1" applyBorder="1" applyAlignment="1" applyProtection="1">
      <alignment/>
      <protection/>
    </xf>
    <xf numFmtId="193" fontId="10" fillId="22" borderId="11" xfId="65" applyNumberFormat="1" applyFont="1" applyFill="1" applyBorder="1" applyAlignment="1" applyProtection="1">
      <alignment horizontal="left" vertical="center"/>
      <protection/>
    </xf>
    <xf numFmtId="193" fontId="10" fillId="22" borderId="11" xfId="65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177" fontId="10" fillId="0" borderId="0" xfId="65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193" fontId="10" fillId="0" borderId="10" xfId="65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4" fontId="10" fillId="0" borderId="0" xfId="0" applyNumberFormat="1" applyFont="1" applyBorder="1" applyAlignment="1" applyProtection="1">
      <alignment horizontal="center" wrapText="1"/>
      <protection/>
    </xf>
    <xf numFmtId="193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 quotePrefix="1">
      <alignment horizontal="left" vertical="center"/>
      <protection/>
    </xf>
    <xf numFmtId="193" fontId="10" fillId="22" borderId="10" xfId="65" applyNumberFormat="1" applyFont="1" applyFill="1" applyBorder="1" applyAlignment="1" applyProtection="1">
      <alignment vertical="center"/>
      <protection/>
    </xf>
    <xf numFmtId="177" fontId="11" fillId="0" borderId="0" xfId="65" applyNumberFormat="1" applyFont="1" applyFill="1" applyBorder="1" applyAlignment="1" applyProtection="1">
      <alignment horizontal="center" vertical="center"/>
      <protection/>
    </xf>
    <xf numFmtId="193" fontId="11" fillId="0" borderId="0" xfId="0" applyNumberFormat="1" applyFont="1" applyBorder="1" applyAlignment="1" applyProtection="1">
      <alignment/>
      <protection/>
    </xf>
    <xf numFmtId="193" fontId="10" fillId="0" borderId="0" xfId="0" applyNumberFormat="1" applyFont="1" applyFill="1" applyBorder="1" applyAlignment="1" applyProtection="1">
      <alignment/>
      <protection/>
    </xf>
    <xf numFmtId="193" fontId="10" fillId="0" borderId="0" xfId="0" applyNumberFormat="1" applyFont="1" applyBorder="1" applyAlignment="1" applyProtection="1">
      <alignment/>
      <protection/>
    </xf>
    <xf numFmtId="193" fontId="11" fillId="0" borderId="10" xfId="0" applyNumberFormat="1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 horizontal="center"/>
      <protection/>
    </xf>
    <xf numFmtId="3" fontId="31" fillId="24" borderId="0" xfId="0" applyNumberFormat="1" applyFont="1" applyFill="1" applyBorder="1" applyAlignment="1" applyProtection="1">
      <alignment/>
      <protection/>
    </xf>
    <xf numFmtId="3" fontId="11" fillId="24" borderId="0" xfId="0" applyNumberFormat="1" applyFont="1" applyFill="1" applyBorder="1" applyAlignment="1" applyProtection="1">
      <alignment/>
      <protection/>
    </xf>
    <xf numFmtId="0" fontId="55" fillId="24" borderId="0" xfId="0" applyFont="1" applyFill="1" applyBorder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/>
      <protection/>
    </xf>
    <xf numFmtId="0" fontId="24" fillId="24" borderId="0" xfId="62" applyFont="1" applyFill="1" applyBorder="1" applyAlignment="1" applyProtection="1">
      <alignment vertical="center"/>
      <protection/>
    </xf>
    <xf numFmtId="0" fontId="18" fillId="24" borderId="0" xfId="0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 horizontal="center" wrapText="1"/>
      <protection/>
    </xf>
    <xf numFmtId="0" fontId="11" fillId="24" borderId="0" xfId="0" applyFont="1" applyFill="1" applyBorder="1" applyAlignment="1" applyProtection="1">
      <alignment/>
      <protection/>
    </xf>
    <xf numFmtId="0" fontId="10" fillId="24" borderId="0" xfId="0" applyFont="1" applyFill="1" applyBorder="1" applyAlignment="1" applyProtection="1">
      <alignment/>
      <protection/>
    </xf>
    <xf numFmtId="0" fontId="10" fillId="24" borderId="0" xfId="62" applyFont="1" applyFill="1" applyBorder="1" applyAlignment="1" applyProtection="1">
      <alignment vertical="center"/>
      <protection/>
    </xf>
    <xf numFmtId="0" fontId="12" fillId="24" borderId="0" xfId="0" applyFont="1" applyFill="1" applyBorder="1" applyAlignment="1" applyProtection="1">
      <alignment/>
      <protection/>
    </xf>
    <xf numFmtId="0" fontId="10" fillId="24" borderId="0" xfId="63" applyFont="1" applyFill="1" applyAlignment="1" applyProtection="1">
      <alignment horizontal="right"/>
      <protection/>
    </xf>
    <xf numFmtId="0" fontId="10" fillId="24" borderId="0" xfId="63" applyFont="1" applyFill="1" applyAlignment="1" applyProtection="1">
      <alignment/>
      <protection/>
    </xf>
    <xf numFmtId="0" fontId="10" fillId="24" borderId="0" xfId="62" applyFont="1" applyFill="1" applyBorder="1" applyAlignment="1" applyProtection="1">
      <alignment horizontal="right" vertical="center"/>
      <protection/>
    </xf>
    <xf numFmtId="0" fontId="20" fillId="24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 wrapText="1"/>
      <protection hidden="1"/>
    </xf>
    <xf numFmtId="0" fontId="57" fillId="0" borderId="0" xfId="0" applyFont="1" applyBorder="1" applyAlignment="1" applyProtection="1">
      <alignment horizontal="center"/>
      <protection hidden="1"/>
    </xf>
    <xf numFmtId="0" fontId="57" fillId="0" borderId="0" xfId="0" applyFont="1" applyBorder="1" applyAlignment="1" applyProtection="1">
      <alignment horizontal="center"/>
      <protection/>
    </xf>
    <xf numFmtId="0" fontId="58" fillId="0" borderId="0" xfId="0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 horizontal="center"/>
      <protection locked="0"/>
    </xf>
    <xf numFmtId="0" fontId="12" fillId="21" borderId="0" xfId="0" applyFont="1" applyFill="1" applyBorder="1" applyAlignment="1" applyProtection="1">
      <alignment/>
      <protection locked="0"/>
    </xf>
    <xf numFmtId="0" fontId="12" fillId="21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177" fontId="10" fillId="22" borderId="10" xfId="0" applyNumberFormat="1" applyFont="1" applyFill="1" applyBorder="1" applyAlignment="1" applyProtection="1">
      <alignment horizontal="right"/>
      <protection locked="0"/>
    </xf>
    <xf numFmtId="37" fontId="11" fillId="0" borderId="0" xfId="0" applyNumberFormat="1" applyFont="1" applyBorder="1" applyAlignment="1" applyProtection="1">
      <alignment horizontal="right"/>
      <protection locked="0"/>
    </xf>
    <xf numFmtId="177" fontId="11" fillId="0" borderId="0" xfId="0" applyNumberFormat="1" applyFont="1" applyBorder="1" applyAlignment="1" applyProtection="1">
      <alignment horizontal="right"/>
      <protection locked="0"/>
    </xf>
    <xf numFmtId="193" fontId="10" fillId="0" borderId="0" xfId="0" applyNumberFormat="1" applyFont="1" applyBorder="1" applyAlignment="1" applyProtection="1">
      <alignment horizontal="right"/>
      <protection locked="0"/>
    </xf>
    <xf numFmtId="0" fontId="18" fillId="21" borderId="0" xfId="0" applyFont="1" applyFill="1" applyBorder="1" applyAlignment="1" applyProtection="1">
      <alignment horizontal="right"/>
      <protection locked="0"/>
    </xf>
    <xf numFmtId="0" fontId="12" fillId="21" borderId="0" xfId="0" applyFont="1" applyFill="1" applyBorder="1" applyAlignment="1" applyProtection="1">
      <alignment horizontal="center"/>
      <protection locked="0"/>
    </xf>
    <xf numFmtId="177" fontId="12" fillId="21" borderId="0" xfId="0" applyNumberFormat="1" applyFont="1" applyFill="1" applyBorder="1" applyAlignment="1" applyProtection="1">
      <alignment horizontal="right"/>
      <protection locked="0"/>
    </xf>
    <xf numFmtId="0" fontId="18" fillId="21" borderId="0" xfId="0" applyFont="1" applyFill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wrapText="1"/>
      <protection/>
    </xf>
    <xf numFmtId="177" fontId="12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/>
    </xf>
    <xf numFmtId="177" fontId="12" fillId="0" borderId="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center"/>
      <protection/>
    </xf>
    <xf numFmtId="177" fontId="10" fillId="22" borderId="10" xfId="0" applyNumberFormat="1" applyFont="1" applyFill="1" applyBorder="1" applyAlignment="1" applyProtection="1">
      <alignment horizontal="right"/>
      <protection/>
    </xf>
    <xf numFmtId="37" fontId="11" fillId="0" borderId="0" xfId="0" applyNumberFormat="1" applyFont="1" applyBorder="1" applyAlignment="1" applyProtection="1">
      <alignment horizontal="right"/>
      <protection/>
    </xf>
    <xf numFmtId="177" fontId="11" fillId="0" borderId="0" xfId="0" applyNumberFormat="1" applyFont="1" applyBorder="1" applyAlignment="1" applyProtection="1">
      <alignment horizontal="right"/>
      <protection/>
    </xf>
    <xf numFmtId="0" fontId="11" fillId="0" borderId="0" xfId="0" applyNumberFormat="1" applyFont="1" applyBorder="1" applyAlignment="1" applyProtection="1">
      <alignment horizontal="center"/>
      <protection/>
    </xf>
    <xf numFmtId="0" fontId="58" fillId="0" borderId="0" xfId="0" applyNumberFormat="1" applyFont="1" applyBorder="1" applyAlignment="1" applyProtection="1">
      <alignment horizontal="center"/>
      <protection/>
    </xf>
    <xf numFmtId="177" fontId="10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 horizontal="right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/>
      <protection/>
    </xf>
    <xf numFmtId="177" fontId="10" fillId="22" borderId="12" xfId="0" applyNumberFormat="1" applyFont="1" applyFill="1" applyBorder="1" applyAlignment="1" applyProtection="1">
      <alignment horizontal="right"/>
      <protection/>
    </xf>
    <xf numFmtId="179" fontId="10" fillId="0" borderId="0" xfId="0" applyNumberFormat="1" applyFont="1" applyBorder="1" applyAlignment="1" applyProtection="1">
      <alignment horizontal="right"/>
      <protection/>
    </xf>
    <xf numFmtId="0" fontId="58" fillId="0" borderId="0" xfId="0" applyFont="1" applyBorder="1" applyAlignment="1" applyProtection="1">
      <alignment horizontal="center" wrapText="1"/>
      <protection/>
    </xf>
    <xf numFmtId="177" fontId="10" fillId="24" borderId="0" xfId="0" applyNumberFormat="1" applyFont="1" applyFill="1" applyBorder="1" applyAlignment="1" applyProtection="1">
      <alignment horizontal="right"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/>
      <protection/>
    </xf>
    <xf numFmtId="0" fontId="31" fillId="24" borderId="0" xfId="0" applyFont="1" applyFill="1" applyBorder="1" applyAlignment="1" applyProtection="1">
      <alignment horizontal="right" vertical="center"/>
      <protection/>
    </xf>
    <xf numFmtId="177" fontId="31" fillId="24" borderId="0" xfId="0" applyNumberFormat="1" applyFont="1" applyFill="1" applyBorder="1" applyAlignment="1" applyProtection="1">
      <alignment horizontal="right"/>
      <protection/>
    </xf>
    <xf numFmtId="0" fontId="10" fillId="24" borderId="0" xfId="0" applyFont="1" applyFill="1" applyBorder="1" applyAlignment="1" applyProtection="1">
      <alignment horizont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177" fontId="29" fillId="24" borderId="0" xfId="0" applyNumberFormat="1" applyFont="1" applyFill="1" applyBorder="1" applyAlignment="1" applyProtection="1">
      <alignment horizontal="right"/>
      <protection/>
    </xf>
    <xf numFmtId="0" fontId="56" fillId="24" borderId="0" xfId="0" applyFont="1" applyFill="1" applyBorder="1" applyAlignment="1" applyProtection="1">
      <alignment/>
      <protection/>
    </xf>
    <xf numFmtId="0" fontId="18" fillId="24" borderId="0" xfId="62" applyFont="1" applyFill="1" applyBorder="1" applyAlignment="1" applyProtection="1">
      <alignment vertical="center"/>
      <protection/>
    </xf>
    <xf numFmtId="0" fontId="19" fillId="24" borderId="0" xfId="0" applyFont="1" applyFill="1" applyBorder="1" applyAlignment="1" applyProtection="1">
      <alignment/>
      <protection/>
    </xf>
    <xf numFmtId="0" fontId="16" fillId="24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 horizontal="center"/>
      <protection/>
    </xf>
    <xf numFmtId="177" fontId="12" fillId="24" borderId="0" xfId="0" applyNumberFormat="1" applyFont="1" applyFill="1" applyBorder="1" applyAlignment="1" applyProtection="1">
      <alignment horizontal="right"/>
      <protection/>
    </xf>
    <xf numFmtId="0" fontId="21" fillId="24" borderId="0" xfId="0" applyFont="1" applyFill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/>
      <protection hidden="1"/>
    </xf>
    <xf numFmtId="0" fontId="12" fillId="20" borderId="0" xfId="0" applyFont="1" applyFill="1" applyAlignment="1" applyProtection="1">
      <alignment/>
      <protection locked="0"/>
    </xf>
    <xf numFmtId="0" fontId="12" fillId="20" borderId="0" xfId="0" applyFont="1" applyFill="1" applyAlignment="1" applyProtection="1">
      <alignment/>
      <protection/>
    </xf>
    <xf numFmtId="0" fontId="10" fillId="22" borderId="10" xfId="65" applyNumberFormat="1" applyFont="1" applyFill="1" applyBorder="1" applyAlignment="1" applyProtection="1">
      <alignment vertical="center"/>
      <protection/>
    </xf>
    <xf numFmtId="0" fontId="10" fillId="22" borderId="10" xfId="65" applyNumberFormat="1" applyFont="1" applyFill="1" applyBorder="1" applyAlignment="1" applyProtection="1">
      <alignment horizontal="left" vertical="center"/>
      <protection/>
    </xf>
    <xf numFmtId="0" fontId="0" fillId="21" borderId="0" xfId="0" applyFill="1" applyAlignment="1" applyProtection="1">
      <alignment/>
      <protection locked="0"/>
    </xf>
    <xf numFmtId="1" fontId="24" fillId="0" borderId="0" xfId="64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63" applyFont="1" applyFill="1" applyBorder="1" applyAlignment="1" applyProtection="1">
      <alignment horizontal="center"/>
      <protection locked="0"/>
    </xf>
    <xf numFmtId="177" fontId="11" fillId="0" borderId="0" xfId="63" applyNumberFormat="1" applyFont="1" applyFill="1" applyBorder="1" applyAlignment="1" applyProtection="1">
      <alignment horizontal="right"/>
      <protection locked="0"/>
    </xf>
    <xf numFmtId="177" fontId="11" fillId="0" borderId="0" xfId="63" applyNumberFormat="1" applyFont="1" applyFill="1" applyBorder="1" applyProtection="1">
      <alignment/>
      <protection locked="0"/>
    </xf>
    <xf numFmtId="0" fontId="17" fillId="0" borderId="0" xfId="63" applyFont="1" applyFill="1" applyBorder="1" applyAlignment="1" applyProtection="1">
      <alignment vertical="top" wrapText="1"/>
      <protection locked="0"/>
    </xf>
    <xf numFmtId="0" fontId="10" fillId="0" borderId="0" xfId="63" applyFont="1" applyFill="1" applyBorder="1" applyAlignment="1" applyProtection="1">
      <alignment horizontal="center"/>
      <protection locked="0"/>
    </xf>
    <xf numFmtId="0" fontId="17" fillId="0" borderId="0" xfId="63" applyFont="1" applyFill="1" applyBorder="1" applyAlignment="1" applyProtection="1">
      <alignment vertical="top"/>
      <protection locked="0"/>
    </xf>
    <xf numFmtId="177" fontId="10" fillId="0" borderId="0" xfId="63" applyNumberFormat="1" applyFont="1" applyFill="1" applyBorder="1" applyAlignment="1" applyProtection="1">
      <alignment horizontal="right"/>
      <protection locked="0"/>
    </xf>
    <xf numFmtId="177" fontId="10" fillId="22" borderId="13" xfId="63" applyNumberFormat="1" applyFont="1" applyFill="1" applyBorder="1" applyAlignment="1" applyProtection="1">
      <alignment horizontal="right"/>
      <protection locked="0"/>
    </xf>
    <xf numFmtId="177" fontId="10" fillId="0" borderId="0" xfId="63" applyNumberFormat="1" applyFont="1" applyFill="1" applyBorder="1" applyAlignment="1" applyProtection="1">
      <alignment horizontal="center"/>
      <protection locked="0"/>
    </xf>
    <xf numFmtId="0" fontId="11" fillId="21" borderId="0" xfId="63" applyFont="1" applyFill="1" applyAlignment="1" applyProtection="1">
      <alignment horizontal="center"/>
      <protection locked="0"/>
    </xf>
    <xf numFmtId="177" fontId="11" fillId="21" borderId="0" xfId="63" applyNumberFormat="1" applyFont="1" applyFill="1" applyAlignment="1" applyProtection="1">
      <alignment horizontal="right"/>
      <protection locked="0"/>
    </xf>
    <xf numFmtId="0" fontId="11" fillId="21" borderId="0" xfId="63" applyFont="1" applyFill="1" applyBorder="1" applyAlignment="1" applyProtection="1">
      <alignment horizontal="center"/>
      <protection locked="0"/>
    </xf>
    <xf numFmtId="0" fontId="26" fillId="21" borderId="0" xfId="62" applyFont="1" applyFill="1" applyBorder="1" applyAlignment="1" applyProtection="1">
      <alignment vertical="center"/>
      <protection locked="0"/>
    </xf>
    <xf numFmtId="0" fontId="11" fillId="21" borderId="0" xfId="63" applyFont="1" applyFill="1" applyProtection="1">
      <alignment/>
      <protection locked="0"/>
    </xf>
    <xf numFmtId="0" fontId="11" fillId="0" borderId="0" xfId="66" applyFont="1" applyFill="1" applyBorder="1" applyAlignment="1" applyProtection="1" quotePrefix="1">
      <alignment horizontal="left" vertical="center"/>
      <protection/>
    </xf>
    <xf numFmtId="15" fontId="24" fillId="0" borderId="0" xfId="62" applyNumberFormat="1" applyFont="1" applyFill="1" applyBorder="1" applyAlignment="1" applyProtection="1">
      <alignment horizontal="center" vertical="center" wrapText="1"/>
      <protection/>
    </xf>
    <xf numFmtId="1" fontId="24" fillId="0" borderId="0" xfId="64" applyNumberFormat="1" applyFont="1" applyFill="1" applyBorder="1" applyAlignment="1" applyProtection="1">
      <alignment horizontal="right" vertical="center" wrapText="1"/>
      <protection/>
    </xf>
    <xf numFmtId="177" fontId="24" fillId="0" borderId="0" xfId="64" applyNumberFormat="1" applyFont="1" applyFill="1" applyBorder="1" applyAlignment="1" applyProtection="1">
      <alignment horizontal="right" vertical="center" wrapText="1"/>
      <protection/>
    </xf>
    <xf numFmtId="49" fontId="24" fillId="0" borderId="0" xfId="64" applyNumberFormat="1" applyFont="1" applyFill="1" applyBorder="1" applyAlignment="1" applyProtection="1">
      <alignment horizontal="right" vertical="center" wrapText="1"/>
      <protection/>
    </xf>
    <xf numFmtId="0" fontId="24" fillId="0" borderId="0" xfId="63" applyFont="1" applyFill="1" applyBorder="1" applyAlignment="1" applyProtection="1">
      <alignment vertical="top" wrapText="1"/>
      <protection/>
    </xf>
    <xf numFmtId="0" fontId="11" fillId="0" borderId="0" xfId="63" applyFont="1" applyFill="1" applyBorder="1" applyAlignment="1" applyProtection="1">
      <alignment horizontal="center"/>
      <protection/>
    </xf>
    <xf numFmtId="177" fontId="11" fillId="0" borderId="0" xfId="63" applyNumberFormat="1" applyFont="1" applyFill="1" applyBorder="1" applyAlignment="1" applyProtection="1">
      <alignment horizontal="right"/>
      <protection/>
    </xf>
    <xf numFmtId="177" fontId="11" fillId="0" borderId="0" xfId="63" applyNumberFormat="1" applyFont="1" applyFill="1" applyBorder="1" applyProtection="1">
      <alignment/>
      <protection/>
    </xf>
    <xf numFmtId="0" fontId="17" fillId="0" borderId="0" xfId="63" applyFont="1" applyFill="1" applyBorder="1" applyAlignment="1" applyProtection="1">
      <alignment vertical="top" wrapText="1"/>
      <protection/>
    </xf>
    <xf numFmtId="0" fontId="10" fillId="0" borderId="0" xfId="63" applyFont="1" applyFill="1" applyBorder="1" applyAlignment="1" applyProtection="1">
      <alignment horizontal="center"/>
      <protection/>
    </xf>
    <xf numFmtId="177" fontId="10" fillId="22" borderId="11" xfId="63" applyNumberFormat="1" applyFont="1" applyFill="1" applyBorder="1" applyAlignment="1" applyProtection="1">
      <alignment horizontal="left"/>
      <protection/>
    </xf>
    <xf numFmtId="177" fontId="10" fillId="22" borderId="11" xfId="63" applyNumberFormat="1" applyFont="1" applyFill="1" applyBorder="1" applyAlignment="1" applyProtection="1">
      <alignment horizontal="right"/>
      <protection/>
    </xf>
    <xf numFmtId="177" fontId="10" fillId="0" borderId="0" xfId="63" applyNumberFormat="1" applyFont="1" applyFill="1" applyBorder="1" applyProtection="1">
      <alignment/>
      <protection/>
    </xf>
    <xf numFmtId="177" fontId="10" fillId="0" borderId="0" xfId="63" applyNumberFormat="1" applyFont="1" applyFill="1" applyBorder="1" applyAlignment="1" applyProtection="1">
      <alignment horizontal="right"/>
      <protection/>
    </xf>
    <xf numFmtId="0" fontId="11" fillId="0" borderId="0" xfId="63" applyFont="1" applyFill="1" applyBorder="1" applyProtection="1">
      <alignment/>
      <protection/>
    </xf>
    <xf numFmtId="177" fontId="10" fillId="22" borderId="13" xfId="63" applyNumberFormat="1" applyFont="1" applyFill="1" applyBorder="1" applyAlignment="1" applyProtection="1">
      <alignment horizontal="left" vertical="justify"/>
      <protection/>
    </xf>
    <xf numFmtId="177" fontId="10" fillId="22" borderId="13" xfId="63" applyNumberFormat="1" applyFont="1" applyFill="1" applyBorder="1" applyAlignment="1" applyProtection="1">
      <alignment horizontal="right"/>
      <protection/>
    </xf>
    <xf numFmtId="177" fontId="10" fillId="0" borderId="0" xfId="63" applyNumberFormat="1" applyFont="1" applyFill="1" applyBorder="1" applyAlignment="1" applyProtection="1">
      <alignment horizontal="center"/>
      <protection/>
    </xf>
    <xf numFmtId="177" fontId="10" fillId="22" borderId="14" xfId="63" applyNumberFormat="1" applyFont="1" applyFill="1" applyBorder="1" applyAlignment="1" applyProtection="1">
      <alignment horizontal="left" vertical="justify"/>
      <protection/>
    </xf>
    <xf numFmtId="177" fontId="10" fillId="22" borderId="14" xfId="63" applyNumberFormat="1" applyFont="1" applyFill="1" applyBorder="1" applyAlignment="1" applyProtection="1">
      <alignment horizontal="right"/>
      <protection/>
    </xf>
    <xf numFmtId="0" fontId="31" fillId="24" borderId="0" xfId="63" applyFont="1" applyFill="1" applyBorder="1" applyAlignment="1" applyProtection="1">
      <alignment horizontal="right"/>
      <protection/>
    </xf>
    <xf numFmtId="0" fontId="11" fillId="24" borderId="0" xfId="63" applyFont="1" applyFill="1" applyBorder="1" applyAlignment="1" applyProtection="1">
      <alignment horizontal="center"/>
      <protection/>
    </xf>
    <xf numFmtId="177" fontId="31" fillId="24" borderId="0" xfId="63" applyNumberFormat="1" applyFont="1" applyFill="1" applyBorder="1" applyAlignment="1" applyProtection="1">
      <alignment horizontal="right"/>
      <protection/>
    </xf>
    <xf numFmtId="0" fontId="25" fillId="24" borderId="0" xfId="63" applyFont="1" applyFill="1" applyBorder="1" applyAlignment="1" applyProtection="1">
      <alignment horizontal="center"/>
      <protection/>
    </xf>
    <xf numFmtId="0" fontId="29" fillId="24" borderId="0" xfId="63" applyFont="1" applyFill="1" applyBorder="1" applyAlignment="1" applyProtection="1">
      <alignment horizontal="right"/>
      <protection/>
    </xf>
    <xf numFmtId="0" fontId="55" fillId="24" borderId="0" xfId="63" applyFont="1" applyFill="1" applyBorder="1" applyAlignment="1" applyProtection="1">
      <alignment horizontal="center"/>
      <protection/>
    </xf>
    <xf numFmtId="177" fontId="29" fillId="24" borderId="0" xfId="63" applyNumberFormat="1" applyFont="1" applyFill="1" applyBorder="1" applyAlignment="1" applyProtection="1">
      <alignment horizontal="right"/>
      <protection/>
    </xf>
    <xf numFmtId="177" fontId="25" fillId="24" borderId="0" xfId="63" applyNumberFormat="1" applyFont="1" applyFill="1" applyBorder="1" applyAlignment="1" applyProtection="1">
      <alignment horizontal="right"/>
      <protection/>
    </xf>
    <xf numFmtId="177" fontId="11" fillId="24" borderId="0" xfId="63" applyNumberFormat="1" applyFont="1" applyFill="1" applyBorder="1" applyAlignment="1" applyProtection="1">
      <alignment horizontal="right"/>
      <protection/>
    </xf>
    <xf numFmtId="0" fontId="11" fillId="24" borderId="0" xfId="63" applyFont="1" applyFill="1" applyAlignment="1" applyProtection="1">
      <alignment horizontal="center"/>
      <protection/>
    </xf>
    <xf numFmtId="177" fontId="11" fillId="24" borderId="0" xfId="63" applyNumberFormat="1" applyFont="1" applyFill="1" applyAlignment="1" applyProtection="1">
      <alignment horizontal="right"/>
      <protection/>
    </xf>
    <xf numFmtId="177" fontId="16" fillId="24" borderId="0" xfId="63" applyNumberFormat="1" applyFont="1" applyFill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/>
      <protection hidden="1"/>
    </xf>
    <xf numFmtId="0" fontId="57" fillId="0" borderId="0" xfId="0" applyFont="1" applyFill="1" applyBorder="1" applyAlignment="1" applyProtection="1">
      <alignment vertical="center"/>
      <protection hidden="1"/>
    </xf>
    <xf numFmtId="177" fontId="10" fillId="22" borderId="12" xfId="0" applyNumberFormat="1" applyFont="1" applyFill="1" applyBorder="1" applyAlignment="1">
      <alignment horizontal="right"/>
    </xf>
    <xf numFmtId="0" fontId="12" fillId="21" borderId="0" xfId="0" applyFont="1" applyFill="1" applyBorder="1" applyAlignment="1" applyProtection="1">
      <alignment/>
      <protection locked="0"/>
    </xf>
    <xf numFmtId="0" fontId="12" fillId="0" borderId="0" xfId="64" applyNumberFormat="1" applyFont="1" applyFill="1" applyBorder="1" applyAlignment="1" applyProtection="1">
      <alignment/>
      <protection locked="0"/>
    </xf>
    <xf numFmtId="0" fontId="19" fillId="0" borderId="0" xfId="6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right"/>
      <protection locked="0"/>
    </xf>
    <xf numFmtId="0" fontId="22" fillId="0" borderId="0" xfId="64" applyNumberFormat="1" applyFont="1" applyFill="1" applyBorder="1" applyAlignment="1" applyProtection="1">
      <alignment vertical="center"/>
      <protection locked="0"/>
    </xf>
    <xf numFmtId="3" fontId="11" fillId="0" borderId="0" xfId="64" applyNumberFormat="1" applyFont="1" applyFill="1" applyBorder="1" applyAlignment="1" applyProtection="1">
      <alignment vertical="center"/>
      <protection locked="0"/>
    </xf>
    <xf numFmtId="0" fontId="11" fillId="0" borderId="0" xfId="64" applyNumberFormat="1" applyFont="1" applyFill="1" applyBorder="1" applyAlignment="1" applyProtection="1">
      <alignment vertical="center"/>
      <protection locked="0"/>
    </xf>
    <xf numFmtId="193" fontId="10" fillId="0" borderId="0" xfId="42" applyNumberFormat="1" applyFont="1" applyFill="1" applyBorder="1" applyAlignment="1" applyProtection="1">
      <alignment vertical="center"/>
      <protection locked="0"/>
    </xf>
    <xf numFmtId="193" fontId="10" fillId="0" borderId="10" xfId="42" applyNumberFormat="1" applyFont="1" applyFill="1" applyBorder="1" applyAlignment="1" applyProtection="1">
      <alignment vertical="center"/>
      <protection locked="0"/>
    </xf>
    <xf numFmtId="0" fontId="11" fillId="21" borderId="0" xfId="64" applyNumberFormat="1" applyFont="1" applyFill="1" applyBorder="1" applyAlignment="1" applyProtection="1">
      <alignment vertical="center"/>
      <protection locked="0"/>
    </xf>
    <xf numFmtId="193" fontId="10" fillId="22" borderId="14" xfId="42" applyNumberFormat="1" applyFont="1" applyFill="1" applyBorder="1" applyAlignment="1" applyProtection="1">
      <alignment horizontal="left" vertical="center"/>
      <protection locked="0"/>
    </xf>
    <xf numFmtId="193" fontId="10" fillId="0" borderId="0" xfId="42" applyNumberFormat="1" applyFont="1" applyFill="1" applyBorder="1" applyAlignment="1" applyProtection="1">
      <alignment horizontal="right" vertical="center"/>
      <protection locked="0"/>
    </xf>
    <xf numFmtId="193" fontId="10" fillId="22" borderId="14" xfId="42" applyNumberFormat="1" applyFont="1" applyFill="1" applyBorder="1" applyAlignment="1" applyProtection="1">
      <alignment vertical="center"/>
      <protection locked="0"/>
    </xf>
    <xf numFmtId="0" fontId="10" fillId="21" borderId="0" xfId="64" applyNumberFormat="1" applyFont="1" applyFill="1" applyBorder="1" applyAlignment="1" applyProtection="1">
      <alignment vertical="center"/>
      <protection locked="0"/>
    </xf>
    <xf numFmtId="193" fontId="10" fillId="0" borderId="0" xfId="42" applyNumberFormat="1" applyFont="1" applyFill="1" applyBorder="1" applyAlignment="1" applyProtection="1">
      <alignment horizontal="left" vertical="center"/>
      <protection locked="0"/>
    </xf>
    <xf numFmtId="0" fontId="12" fillId="0" borderId="13" xfId="64" applyNumberFormat="1" applyFont="1" applyFill="1" applyBorder="1" applyAlignment="1" applyProtection="1">
      <alignment vertical="center" wrapText="1"/>
      <protection locked="0"/>
    </xf>
    <xf numFmtId="0" fontId="12" fillId="0" borderId="0" xfId="64" applyNumberFormat="1" applyFont="1" applyFill="1" applyBorder="1" applyAlignment="1" applyProtection="1">
      <alignment vertical="center" wrapText="1"/>
      <protection locked="0"/>
    </xf>
    <xf numFmtId="193" fontId="10" fillId="22" borderId="13" xfId="42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193" fontId="11" fillId="0" borderId="0" xfId="42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22" fillId="21" borderId="0" xfId="64" applyNumberFormat="1" applyFont="1" applyFill="1" applyBorder="1" applyAlignment="1" applyProtection="1">
      <alignment vertical="center"/>
      <protection locked="0"/>
    </xf>
    <xf numFmtId="0" fontId="12" fillId="21" borderId="0" xfId="64" applyNumberFormat="1" applyFont="1" applyFill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vertical="top" wrapText="1"/>
      <protection locked="0"/>
    </xf>
    <xf numFmtId="0" fontId="19" fillId="21" borderId="0" xfId="64" applyNumberFormat="1" applyFont="1" applyFill="1" applyBorder="1" applyAlignment="1" applyProtection="1">
      <alignment vertical="center"/>
      <protection locked="0"/>
    </xf>
    <xf numFmtId="0" fontId="16" fillId="21" borderId="0" xfId="64" applyNumberFormat="1" applyFont="1" applyFill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vertical="top" wrapText="1"/>
      <protection locked="0"/>
    </xf>
    <xf numFmtId="0" fontId="12" fillId="21" borderId="0" xfId="64" applyNumberFormat="1" applyFont="1" applyFill="1" applyBorder="1" applyAlignment="1" applyProtection="1">
      <alignment vertical="top"/>
      <protection locked="0"/>
    </xf>
    <xf numFmtId="0" fontId="59" fillId="24" borderId="0" xfId="62" applyFont="1" applyFill="1" applyBorder="1" applyAlignment="1" applyProtection="1">
      <alignment vertical="center"/>
      <protection/>
    </xf>
    <xf numFmtId="0" fontId="22" fillId="24" borderId="0" xfId="62" applyFont="1" applyFill="1" applyBorder="1" applyAlignment="1" applyProtection="1">
      <alignment vertical="center"/>
      <protection/>
    </xf>
    <xf numFmtId="0" fontId="22" fillId="24" borderId="0" xfId="63" applyFont="1" applyFill="1" applyAlignment="1" applyProtection="1">
      <alignment horizontal="right"/>
      <protection/>
    </xf>
    <xf numFmtId="0" fontId="22" fillId="24" borderId="0" xfId="63" applyFont="1" applyFill="1" applyAlignment="1" applyProtection="1">
      <alignment horizontal="left"/>
      <protection/>
    </xf>
    <xf numFmtId="0" fontId="0" fillId="21" borderId="0" xfId="0" applyFont="1" applyFill="1" applyAlignment="1" applyProtection="1">
      <alignment/>
      <protection locked="0"/>
    </xf>
    <xf numFmtId="0" fontId="60" fillId="0" borderId="0" xfId="0" applyFont="1" applyAlignment="1" applyProtection="1">
      <alignment/>
      <protection hidden="1"/>
    </xf>
    <xf numFmtId="0" fontId="61" fillId="0" borderId="0" xfId="0" applyFont="1" applyFill="1" applyBorder="1" applyAlignment="1" applyProtection="1">
      <alignment/>
      <protection hidden="1"/>
    </xf>
    <xf numFmtId="0" fontId="60" fillId="0" borderId="0" xfId="0" applyFont="1" applyFill="1" applyAlignment="1" applyProtection="1">
      <alignment/>
      <protection hidden="1"/>
    </xf>
    <xf numFmtId="0" fontId="10" fillId="0" borderId="0" xfId="62" applyFont="1" applyFill="1" applyBorder="1" applyAlignment="1" applyProtection="1">
      <alignment horizontal="center" vertical="center"/>
      <protection/>
    </xf>
    <xf numFmtId="0" fontId="10" fillId="0" borderId="0" xfId="62" applyFont="1" applyFill="1" applyBorder="1" applyAlignment="1" applyProtection="1">
      <alignment horizontal="center" vertical="center"/>
      <protection locked="0"/>
    </xf>
    <xf numFmtId="177" fontId="31" fillId="0" borderId="0" xfId="63" applyNumberFormat="1" applyFont="1" applyFill="1" applyBorder="1" applyAlignment="1" applyProtection="1">
      <alignment horizontal="right"/>
      <protection/>
    </xf>
    <xf numFmtId="0" fontId="16" fillId="0" borderId="0" xfId="63" applyFont="1" applyFill="1" applyBorder="1" applyAlignment="1" applyProtection="1">
      <alignment horizont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177" fontId="25" fillId="0" borderId="0" xfId="63" applyNumberFormat="1" applyFont="1" applyFill="1" applyBorder="1" applyAlignment="1" applyProtection="1">
      <alignment horizontal="right"/>
      <protection/>
    </xf>
    <xf numFmtId="0" fontId="12" fillId="25" borderId="0" xfId="0" applyFont="1" applyFill="1" applyAlignment="1" applyProtection="1">
      <alignment/>
      <protection locked="0"/>
    </xf>
    <xf numFmtId="0" fontId="12" fillId="20" borderId="0" xfId="0" applyFont="1" applyFill="1" applyAlignment="1" applyProtection="1">
      <alignment/>
      <protection locked="0"/>
    </xf>
    <xf numFmtId="0" fontId="28" fillId="20" borderId="0" xfId="0" applyFont="1" applyFill="1" applyAlignment="1" applyProtection="1">
      <alignment vertical="center" wrapText="1"/>
      <protection locked="0"/>
    </xf>
    <xf numFmtId="14" fontId="12" fillId="20" borderId="0" xfId="0" applyNumberFormat="1" applyFont="1" applyFill="1" applyAlignment="1" applyProtection="1">
      <alignment/>
      <protection/>
    </xf>
    <xf numFmtId="0" fontId="12" fillId="25" borderId="0" xfId="0" applyFont="1" applyFill="1" applyAlignment="1" applyProtection="1">
      <alignment/>
      <protection/>
    </xf>
    <xf numFmtId="0" fontId="29" fillId="24" borderId="0" xfId="0" applyFont="1" applyFill="1" applyAlignment="1" applyProtection="1">
      <alignment vertical="center" wrapText="1"/>
      <protection/>
    </xf>
    <xf numFmtId="193" fontId="10" fillId="0" borderId="0" xfId="42" applyNumberFormat="1" applyFont="1" applyFill="1" applyBorder="1" applyAlignment="1" applyProtection="1">
      <alignment horizontal="right" vertical="center"/>
      <protection/>
    </xf>
    <xf numFmtId="193" fontId="10" fillId="0" borderId="0" xfId="42" applyNumberFormat="1" applyFont="1" applyFill="1" applyBorder="1" applyAlignment="1" applyProtection="1">
      <alignment vertical="center"/>
      <protection/>
    </xf>
    <xf numFmtId="193" fontId="10" fillId="22" borderId="14" xfId="42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77" fontId="12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/>
    </xf>
    <xf numFmtId="177" fontId="12" fillId="0" borderId="0" xfId="0" applyNumberFormat="1" applyFont="1" applyFill="1" applyBorder="1" applyAlignment="1" applyProtection="1">
      <alignment horizontal="right" vertical="center" wrapText="1"/>
      <protection/>
    </xf>
    <xf numFmtId="177" fontId="10" fillId="0" borderId="0" xfId="0" applyNumberFormat="1" applyFont="1" applyFill="1" applyBorder="1" applyAlignment="1" applyProtection="1">
      <alignment horizontal="right"/>
      <protection/>
    </xf>
    <xf numFmtId="177" fontId="11" fillId="0" borderId="0" xfId="0" applyNumberFormat="1" applyFont="1" applyFill="1" applyBorder="1" applyAlignment="1" applyProtection="1">
      <alignment horizontal="right"/>
      <protection locked="0"/>
    </xf>
    <xf numFmtId="177" fontId="11" fillId="0" borderId="0" xfId="0" applyNumberFormat="1" applyFont="1" applyFill="1" applyBorder="1" applyAlignment="1" applyProtection="1">
      <alignment horizontal="right"/>
      <protection/>
    </xf>
    <xf numFmtId="177" fontId="10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wrapText="1"/>
      <protection/>
    </xf>
    <xf numFmtId="177" fontId="10" fillId="0" borderId="0" xfId="0" applyNumberFormat="1" applyFont="1" applyFill="1" applyBorder="1" applyAlignment="1">
      <alignment horizontal="right"/>
    </xf>
    <xf numFmtId="0" fontId="16" fillId="0" borderId="0" xfId="62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193" fontId="31" fillId="24" borderId="0" xfId="42" applyNumberFormat="1" applyFont="1" applyFill="1" applyBorder="1" applyAlignment="1" applyProtection="1">
      <alignment horizontal="center" vertical="center"/>
      <protection/>
    </xf>
    <xf numFmtId="193" fontId="16" fillId="0" borderId="0" xfId="42" applyNumberFormat="1" applyFont="1" applyFill="1" applyBorder="1" applyAlignment="1" applyProtection="1">
      <alignment horizontal="right" vertical="center"/>
      <protection locked="0"/>
    </xf>
    <xf numFmtId="193" fontId="16" fillId="0" borderId="0" xfId="42" applyNumberFormat="1" applyFont="1" applyFill="1" applyBorder="1" applyAlignment="1" applyProtection="1">
      <alignment vertical="center"/>
      <protection locked="0"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30" fillId="0" borderId="0" xfId="64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Alignment="1" applyProtection="1">
      <alignment/>
      <protection locked="0"/>
    </xf>
    <xf numFmtId="0" fontId="62" fillId="0" borderId="0" xfId="64" applyNumberFormat="1" applyFont="1" applyFill="1" applyBorder="1" applyAlignment="1" applyProtection="1">
      <alignment vertical="top"/>
      <protection hidden="1"/>
    </xf>
    <xf numFmtId="0" fontId="62" fillId="0" borderId="0" xfId="0" applyNumberFormat="1" applyFont="1" applyFill="1" applyAlignment="1" applyProtection="1">
      <alignment/>
      <protection hidden="1"/>
    </xf>
    <xf numFmtId="193" fontId="10" fillId="22" borderId="13" xfId="42" applyNumberFormat="1" applyFont="1" applyFill="1" applyBorder="1" applyAlignment="1" applyProtection="1">
      <alignment horizontal="right" vertical="center"/>
      <protection/>
    </xf>
    <xf numFmtId="193" fontId="10" fillId="24" borderId="0" xfId="42" applyNumberFormat="1" applyFont="1" applyFill="1" applyBorder="1" applyAlignment="1" applyProtection="1">
      <alignment horizontal="right" vertical="center"/>
      <protection/>
    </xf>
    <xf numFmtId="193" fontId="10" fillId="0" borderId="10" xfId="42" applyNumberFormat="1" applyFont="1" applyFill="1" applyBorder="1" applyAlignment="1" applyProtection="1">
      <alignment vertical="center"/>
      <protection/>
    </xf>
    <xf numFmtId="193" fontId="16" fillId="0" borderId="0" xfId="42" applyNumberFormat="1" applyFont="1" applyFill="1" applyBorder="1" applyAlignment="1" applyProtection="1">
      <alignment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/>
    </xf>
    <xf numFmtId="193" fontId="16" fillId="24" borderId="0" xfId="64" applyNumberFormat="1" applyFont="1" applyFill="1" applyBorder="1" applyAlignment="1" applyProtection="1">
      <alignment vertical="center"/>
      <protection/>
    </xf>
    <xf numFmtId="0" fontId="10" fillId="0" borderId="0" xfId="62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0" fillId="0" borderId="10" xfId="62" applyFont="1" applyFill="1" applyBorder="1" applyAlignment="1" applyProtection="1">
      <alignment vertical="center"/>
      <protection/>
    </xf>
    <xf numFmtId="0" fontId="10" fillId="0" borderId="15" xfId="62" applyFont="1" applyFill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/>
      <protection locked="0"/>
    </xf>
    <xf numFmtId="0" fontId="16" fillId="24" borderId="0" xfId="62" applyNumberFormat="1" applyFont="1" applyFill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6" fillId="24" borderId="0" xfId="63" applyFont="1" applyFill="1" applyBorder="1" applyAlignment="1" applyProtection="1">
      <alignment/>
      <protection/>
    </xf>
    <xf numFmtId="177" fontId="16" fillId="24" borderId="0" xfId="63" applyNumberFormat="1" applyFont="1" applyFill="1" applyAlignment="1" applyProtection="1">
      <alignment/>
      <protection/>
    </xf>
    <xf numFmtId="0" fontId="11" fillId="21" borderId="0" xfId="0" applyFont="1" applyFill="1" applyBorder="1" applyAlignment="1" applyProtection="1">
      <alignment/>
      <protection hidden="1"/>
    </xf>
    <xf numFmtId="0" fontId="12" fillId="21" borderId="0" xfId="0" applyFont="1" applyFill="1" applyBorder="1" applyAlignment="1" applyProtection="1">
      <alignment/>
      <protection hidden="1"/>
    </xf>
    <xf numFmtId="0" fontId="63" fillId="21" borderId="0" xfId="0" applyFont="1" applyFill="1" applyAlignment="1" applyProtection="1">
      <alignment/>
      <protection hidden="1"/>
    </xf>
    <xf numFmtId="0" fontId="11" fillId="21" borderId="0" xfId="64" applyNumberFormat="1" applyFont="1" applyFill="1" applyBorder="1" applyAlignment="1" applyProtection="1">
      <alignment vertical="top"/>
      <protection hidden="1"/>
    </xf>
    <xf numFmtId="0" fontId="0" fillId="21" borderId="0" xfId="0" applyFill="1" applyAlignment="1" applyProtection="1">
      <alignment/>
      <protection hidden="1"/>
    </xf>
    <xf numFmtId="14" fontId="64" fillId="25" borderId="0" xfId="0" applyNumberFormat="1" applyFont="1" applyFill="1" applyAlignment="1" applyProtection="1">
      <alignment/>
      <protection/>
    </xf>
    <xf numFmtId="0" fontId="22" fillId="25" borderId="0" xfId="0" applyFont="1" applyFill="1" applyAlignment="1" applyProtection="1">
      <alignment/>
      <protection locked="0"/>
    </xf>
    <xf numFmtId="0" fontId="36" fillId="21" borderId="0" xfId="0" applyFont="1" applyFill="1" applyAlignment="1" applyProtection="1">
      <alignment/>
      <protection locked="0"/>
    </xf>
    <xf numFmtId="0" fontId="12" fillId="25" borderId="0" xfId="0" applyFont="1" applyFill="1" applyAlignment="1" applyProtection="1">
      <alignment horizontal="center"/>
      <protection locked="0"/>
    </xf>
    <xf numFmtId="0" fontId="12" fillId="20" borderId="0" xfId="0" applyFont="1" applyFill="1" applyAlignment="1" applyProtection="1">
      <alignment/>
      <protection hidden="1"/>
    </xf>
    <xf numFmtId="0" fontId="12" fillId="20" borderId="0" xfId="0" applyFont="1" applyFill="1" applyAlignment="1" applyProtection="1">
      <alignment/>
      <protection hidden="1"/>
    </xf>
    <xf numFmtId="0" fontId="12" fillId="20" borderId="0" xfId="0" applyFont="1" applyFill="1" applyAlignment="1" applyProtection="1">
      <alignment horizontal="right"/>
      <protection hidden="1"/>
    </xf>
    <xf numFmtId="0" fontId="12" fillId="20" borderId="0" xfId="0" applyFont="1" applyFill="1" applyAlignment="1" applyProtection="1">
      <alignment horizontal="right"/>
      <protection hidden="1"/>
    </xf>
    <xf numFmtId="0" fontId="12" fillId="24" borderId="0" xfId="0" applyFont="1" applyFill="1" applyAlignment="1" applyProtection="1">
      <alignment/>
      <protection hidden="1"/>
    </xf>
    <xf numFmtId="0" fontId="27" fillId="24" borderId="0" xfId="0" applyFont="1" applyFill="1" applyAlignment="1" applyProtection="1">
      <alignment horizontal="center" vertical="center" wrapText="1"/>
      <protection hidden="1"/>
    </xf>
    <xf numFmtId="0" fontId="23" fillId="24" borderId="0" xfId="0" applyFont="1" applyFill="1" applyAlignment="1" applyProtection="1">
      <alignment horizontal="center" vertical="center" wrapText="1"/>
      <protection hidden="1"/>
    </xf>
    <xf numFmtId="0" fontId="23" fillId="24" borderId="0" xfId="0" applyFont="1" applyFill="1" applyAlignment="1" applyProtection="1">
      <alignment horizontal="center"/>
      <protection hidden="1"/>
    </xf>
    <xf numFmtId="0" fontId="12" fillId="24" borderId="0" xfId="0" applyFont="1" applyFill="1" applyAlignment="1" applyProtection="1">
      <alignment/>
      <protection hidden="1"/>
    </xf>
    <xf numFmtId="0" fontId="10" fillId="24" borderId="0" xfId="0" applyFont="1" applyFill="1" applyAlignment="1" applyProtection="1">
      <alignment horizontal="center"/>
      <protection hidden="1"/>
    </xf>
    <xf numFmtId="0" fontId="12" fillId="24" borderId="0" xfId="0" applyFont="1" applyFill="1" applyBorder="1" applyAlignment="1" applyProtection="1">
      <alignment/>
      <protection hidden="1"/>
    </xf>
    <xf numFmtId="0" fontId="10" fillId="24" borderId="0" xfId="0" applyFont="1" applyFill="1" applyBorder="1" applyAlignment="1" applyProtection="1">
      <alignment horizontal="center"/>
      <protection hidden="1"/>
    </xf>
    <xf numFmtId="0" fontId="29" fillId="24" borderId="0" xfId="0" applyFont="1" applyFill="1" applyBorder="1" applyAlignment="1" applyProtection="1">
      <alignment horizontal="center"/>
      <protection hidden="1"/>
    </xf>
    <xf numFmtId="0" fontId="29" fillId="24" borderId="0" xfId="0" applyFont="1" applyFill="1" applyAlignment="1" applyProtection="1">
      <alignment horizontal="center"/>
      <protection hidden="1"/>
    </xf>
    <xf numFmtId="0" fontId="11" fillId="0" borderId="15" xfId="0" applyFont="1" applyBorder="1" applyAlignment="1" applyProtection="1">
      <alignment/>
      <protection/>
    </xf>
    <xf numFmtId="0" fontId="10" fillId="0" borderId="15" xfId="62" applyFont="1" applyFill="1" applyBorder="1" applyAlignment="1" applyProtection="1">
      <alignment vertical="center"/>
      <protection/>
    </xf>
    <xf numFmtId="193" fontId="10" fillId="22" borderId="10" xfId="65" applyNumberFormat="1" applyFont="1" applyFill="1" applyBorder="1" applyAlignment="1" applyProtection="1">
      <alignment vertical="center"/>
      <protection locked="0"/>
    </xf>
    <xf numFmtId="177" fontId="10" fillId="0" borderId="0" xfId="65" applyNumberFormat="1" applyFont="1" applyFill="1" applyBorder="1" applyAlignment="1" applyProtection="1">
      <alignment vertical="center"/>
      <protection locked="0"/>
    </xf>
    <xf numFmtId="177" fontId="10" fillId="22" borderId="12" xfId="0" applyNumberFormat="1" applyFont="1" applyFill="1" applyBorder="1" applyAlignment="1" applyProtection="1">
      <alignment horizontal="right"/>
      <protection locked="0"/>
    </xf>
    <xf numFmtId="14" fontId="55" fillId="24" borderId="0" xfId="0" applyNumberFormat="1" applyFont="1" applyFill="1" applyAlignment="1" applyProtection="1">
      <alignment horizontal="center" vertical="center" wrapText="1"/>
      <protection/>
    </xf>
    <xf numFmtId="0" fontId="12" fillId="25" borderId="0" xfId="0" applyFont="1" applyFill="1" applyAlignment="1" applyProtection="1">
      <alignment horizontal="center"/>
      <protection/>
    </xf>
    <xf numFmtId="0" fontId="12" fillId="25" borderId="0" xfId="0" applyFont="1" applyFill="1" applyAlignment="1" applyProtection="1">
      <alignment horizontal="center"/>
      <protection locked="0"/>
    </xf>
    <xf numFmtId="14" fontId="12" fillId="20" borderId="0" xfId="0" applyNumberFormat="1" applyFont="1" applyFill="1" applyAlignment="1" applyProtection="1">
      <alignment horizontal="center"/>
      <protection/>
    </xf>
    <xf numFmtId="14" fontId="12" fillId="25" borderId="0" xfId="0" applyNumberFormat="1" applyFont="1" applyFill="1" applyAlignment="1" applyProtection="1">
      <alignment horizontal="center"/>
      <protection locked="0"/>
    </xf>
    <xf numFmtId="0" fontId="10" fillId="24" borderId="0" xfId="0" applyFont="1" applyFill="1" applyAlignment="1" applyProtection="1">
      <alignment horizontal="center"/>
      <protection hidden="1"/>
    </xf>
    <xf numFmtId="0" fontId="33" fillId="24" borderId="0" xfId="0" applyFont="1" applyFill="1" applyAlignment="1" applyProtection="1">
      <alignment horizontal="center" vertical="center" wrapText="1"/>
      <protection hidden="1"/>
    </xf>
    <xf numFmtId="0" fontId="10" fillId="24" borderId="0" xfId="0" applyFont="1" applyFill="1" applyBorder="1" applyAlignment="1" applyProtection="1">
      <alignment horizontal="center"/>
      <protection hidden="1"/>
    </xf>
    <xf numFmtId="200" fontId="10" fillId="24" borderId="0" xfId="0" applyNumberFormat="1" applyFont="1" applyFill="1" applyBorder="1" applyAlignment="1" applyProtection="1">
      <alignment horizontal="center"/>
      <protection hidden="1"/>
    </xf>
    <xf numFmtId="0" fontId="29" fillId="24" borderId="0" xfId="0" applyFont="1" applyFill="1" applyBorder="1" applyAlignment="1" applyProtection="1">
      <alignment horizontal="center"/>
      <protection hidden="1"/>
    </xf>
    <xf numFmtId="0" fontId="32" fillId="24" borderId="0" xfId="0" applyFont="1" applyFill="1" applyBorder="1" applyAlignment="1" applyProtection="1">
      <alignment horizontal="center" vertical="center" wrapText="1"/>
      <protection hidden="1"/>
    </xf>
    <xf numFmtId="0" fontId="23" fillId="24" borderId="0" xfId="0" applyFont="1" applyFill="1" applyAlignment="1" applyProtection="1">
      <alignment horizontal="center" vertical="center" wrapText="1"/>
      <protection locked="0"/>
    </xf>
    <xf numFmtId="200" fontId="29" fillId="24" borderId="0" xfId="0" applyNumberFormat="1" applyFont="1" applyFill="1" applyBorder="1" applyAlignment="1" applyProtection="1">
      <alignment horizontal="center"/>
      <protection hidden="1"/>
    </xf>
    <xf numFmtId="0" fontId="23" fillId="24" borderId="0" xfId="0" applyFont="1" applyFill="1" applyAlignment="1" applyProtection="1">
      <alignment horizontal="center" vertical="center"/>
      <protection hidden="1"/>
    </xf>
    <xf numFmtId="0" fontId="65" fillId="21" borderId="0" xfId="0" applyFont="1" applyFill="1" applyAlignment="1" applyProtection="1">
      <alignment vertical="center" wrapText="1"/>
      <protection hidden="1"/>
    </xf>
    <xf numFmtId="0" fontId="65" fillId="21" borderId="0" xfId="0" applyFont="1" applyFill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horizontal="right" vertical="center"/>
      <protection/>
    </xf>
    <xf numFmtId="0" fontId="31" fillId="24" borderId="0" xfId="0" applyFont="1" applyFill="1" applyBorder="1" applyAlignment="1" applyProtection="1">
      <alignment horizontal="righ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_BAL" xfId="62"/>
    <cellStyle name="Normal_Financial statements 2000 Alcomet" xfId="63"/>
    <cellStyle name="Normal_Financial statements_bg model 2002" xfId="64"/>
    <cellStyle name="Normal_P&amp;L" xfId="65"/>
    <cellStyle name="Normal_P&amp;L_Financial statements_bg model 2002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dxfs count="24"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strike val="0"/>
        <color theme="0" tint="-0.04997999966144562"/>
      </font>
    </dxf>
    <dxf>
      <font>
        <u val="double"/>
        <strike/>
      </font>
    </dxf>
    <dxf>
      <font>
        <u val="double"/>
        <strike/>
      </font>
    </dxf>
    <dxf>
      <font>
        <strike val="0"/>
        <color theme="0" tint="-0.04997999966144562"/>
      </font>
    </dxf>
    <dxf>
      <font>
        <u val="double"/>
        <strike/>
      </font>
    </dxf>
    <dxf>
      <font>
        <u val="double"/>
        <strike/>
      </font>
    </dxf>
    <dxf>
      <font>
        <strike val="0"/>
        <color theme="0" tint="-0.04997999966144562"/>
      </font>
    </dxf>
    <dxf>
      <font>
        <u val="double"/>
        <strike/>
      </font>
    </dxf>
    <dxf>
      <font>
        <u val="double"/>
        <strike/>
      </font>
    </dxf>
    <dxf>
      <font>
        <strike val="0"/>
        <color theme="0" tint="-0.04997999966144562"/>
      </font>
    </dxf>
    <dxf>
      <font>
        <u val="double"/>
        <strike/>
      </font>
    </dxf>
    <dxf>
      <font>
        <u val="double"/>
        <strike/>
      </font>
    </dxf>
    <dxf>
      <font>
        <strike val="0"/>
        <color theme="0" tint="-0.24993999302387238"/>
      </font>
      <fill>
        <patternFill>
          <bgColor theme="0" tint="-0.24993999302387238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</dxf>
    <dxf>
      <font>
        <strike val="0"/>
        <color theme="0" tint="-0.24993999302387238"/>
      </font>
      <fill>
        <patternFill>
          <bgColor theme="0" tint="-0.24993999302387238"/>
        </patternFill>
      </fill>
    </dxf>
    <dxf>
      <font>
        <u val="double"/>
        <strike/>
      </font>
    </dxf>
    <dxf>
      <font>
        <u val="double"/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57"/>
  <sheetViews>
    <sheetView tabSelected="1" workbookViewId="0" topLeftCell="A1">
      <selection activeCell="K3" sqref="K3"/>
    </sheetView>
  </sheetViews>
  <sheetFormatPr defaultColWidth="9.140625" defaultRowHeight="12.75"/>
  <cols>
    <col min="1" max="9" width="9.140625" style="164" customWidth="1"/>
    <col min="10" max="10" width="5.421875" style="164" customWidth="1"/>
    <col min="11" max="16384" width="9.140625" style="164" customWidth="1"/>
  </cols>
  <sheetData>
    <row r="1" spans="1:38" ht="12.75">
      <c r="A1" s="327"/>
      <c r="B1" s="327"/>
      <c r="C1" s="327"/>
      <c r="D1" s="327"/>
      <c r="E1" s="327"/>
      <c r="F1" s="327"/>
      <c r="G1" s="327"/>
      <c r="H1" s="327"/>
      <c r="I1" s="327"/>
      <c r="L1" s="343" t="s">
        <v>169</v>
      </c>
      <c r="M1" s="343"/>
      <c r="N1" s="343"/>
      <c r="O1" s="343"/>
      <c r="P1" s="343"/>
      <c r="Q1" s="343"/>
      <c r="R1" s="343"/>
      <c r="AA1" s="165">
        <f>DAY(AA2)</f>
        <v>31</v>
      </c>
      <c r="AB1" s="165">
        <f>MONTH(AA2)</f>
        <v>3</v>
      </c>
      <c r="AC1" s="165">
        <f>YEAR(AA2)</f>
        <v>2009</v>
      </c>
      <c r="AD1" s="343" t="str">
        <f>IF(AB3=1,AC1,IF(AB3&lt;1,AA1&amp;"."&amp;AB1&amp;"."&amp;AC1,""))</f>
        <v>31.3.2009</v>
      </c>
      <c r="AE1" s="343"/>
      <c r="AF1" s="343" t="str">
        <f>IF(AB3=1,AD1-1,IF(AB3&lt;1,AA1&amp;"."&amp;AB1&amp;"."&amp;AC1-1,""))</f>
        <v>31.3.2008</v>
      </c>
      <c r="AG1" s="343"/>
      <c r="AH1" s="267"/>
      <c r="AI1" s="345" t="s">
        <v>189</v>
      </c>
      <c r="AJ1" s="345"/>
      <c r="AK1" s="165">
        <v>1</v>
      </c>
      <c r="AL1" s="268">
        <f>MONTH(O38)</f>
        <v>4</v>
      </c>
    </row>
    <row r="2" spans="1:38" ht="12.75" customHeight="1">
      <c r="A2" s="327"/>
      <c r="B2" s="327"/>
      <c r="C2" s="327"/>
      <c r="D2" s="327"/>
      <c r="E2" s="327"/>
      <c r="F2" s="327"/>
      <c r="G2" s="327"/>
      <c r="H2" s="327"/>
      <c r="I2" s="327"/>
      <c r="L2" s="268" t="s">
        <v>170</v>
      </c>
      <c r="M2" s="268"/>
      <c r="N2" s="268"/>
      <c r="O2" s="268"/>
      <c r="P2" s="268"/>
      <c r="Q2" s="268"/>
      <c r="R2" s="268"/>
      <c r="AA2" s="342">
        <f>O36</f>
        <v>39903</v>
      </c>
      <c r="AB2" s="342"/>
      <c r="AC2" s="165"/>
      <c r="AD2" s="165"/>
      <c r="AE2" s="165"/>
      <c r="AF2" s="165"/>
      <c r="AG2" s="165"/>
      <c r="AH2" s="165"/>
      <c r="AI2" s="345" t="s">
        <v>190</v>
      </c>
      <c r="AJ2" s="345"/>
      <c r="AK2" s="165">
        <v>2</v>
      </c>
      <c r="AL2" s="165"/>
    </row>
    <row r="3" spans="1:38" ht="12.75" customHeight="1">
      <c r="A3" s="327"/>
      <c r="B3" s="352" t="str">
        <f>L27</f>
        <v>"Железопътна Инфраструктура - Холдингово Дружество" АД</v>
      </c>
      <c r="C3" s="352"/>
      <c r="D3" s="352"/>
      <c r="E3" s="352"/>
      <c r="F3" s="352"/>
      <c r="G3" s="352"/>
      <c r="H3" s="352"/>
      <c r="I3" s="328"/>
      <c r="L3" s="268" t="s">
        <v>171</v>
      </c>
      <c r="M3" s="268"/>
      <c r="N3" s="268"/>
      <c r="O3" s="268"/>
      <c r="P3" s="268"/>
      <c r="Q3" s="268"/>
      <c r="R3" s="268"/>
      <c r="AA3" s="269" t="str">
        <f>IF(AB3=1,"за ",IF(AB3&lt;1,"към ",""))</f>
        <v>към </v>
      </c>
      <c r="AB3" s="269">
        <f>IF(AND(AB1=12,AA1=31),1,0)</f>
        <v>0</v>
      </c>
      <c r="AC3" s="165"/>
      <c r="AD3" s="165"/>
      <c r="AE3" s="165"/>
      <c r="AF3" s="165"/>
      <c r="AG3" s="165"/>
      <c r="AH3" s="165"/>
      <c r="AI3" s="345" t="s">
        <v>191</v>
      </c>
      <c r="AJ3" s="345"/>
      <c r="AK3" s="165">
        <v>3</v>
      </c>
      <c r="AL3" s="165"/>
    </row>
    <row r="4" spans="1:38" ht="12.75" customHeight="1">
      <c r="A4" s="327"/>
      <c r="B4" s="352"/>
      <c r="C4" s="352"/>
      <c r="D4" s="352"/>
      <c r="E4" s="352"/>
      <c r="F4" s="352"/>
      <c r="G4" s="352"/>
      <c r="H4" s="352"/>
      <c r="I4" s="328"/>
      <c r="L4" s="268" t="s">
        <v>182</v>
      </c>
      <c r="M4" s="268"/>
      <c r="N4" s="268"/>
      <c r="O4" s="268"/>
      <c r="P4" s="268"/>
      <c r="Q4" s="268"/>
      <c r="R4" s="268"/>
      <c r="AA4" s="343" t="str">
        <f>IF(O34=AD5,AA5,IF(O34=AD6,AA6,IF(O34=AD7,AA7,"")))</f>
        <v>САМОСТОЯТЕЛЕН</v>
      </c>
      <c r="AB4" s="343"/>
      <c r="AC4" s="343"/>
      <c r="AD4" s="165"/>
      <c r="AE4" s="165"/>
      <c r="AF4" s="165"/>
      <c r="AG4" s="165"/>
      <c r="AH4" s="165"/>
      <c r="AI4" s="345" t="s">
        <v>192</v>
      </c>
      <c r="AJ4" s="345"/>
      <c r="AK4" s="165">
        <v>4</v>
      </c>
      <c r="AL4" s="165"/>
    </row>
    <row r="5" spans="1:38" ht="12.75" customHeight="1">
      <c r="A5" s="327"/>
      <c r="B5" s="352"/>
      <c r="C5" s="352"/>
      <c r="D5" s="352"/>
      <c r="E5" s="352"/>
      <c r="F5" s="352"/>
      <c r="G5" s="352"/>
      <c r="H5" s="352"/>
      <c r="I5" s="328"/>
      <c r="L5" s="268" t="s">
        <v>181</v>
      </c>
      <c r="M5" s="268"/>
      <c r="N5" s="268"/>
      <c r="O5" s="268"/>
      <c r="P5" s="268"/>
      <c r="Q5" s="268"/>
      <c r="R5" s="268"/>
      <c r="AA5" s="343" t="s">
        <v>210</v>
      </c>
      <c r="AB5" s="343"/>
      <c r="AC5" s="343"/>
      <c r="AD5" s="165" t="s">
        <v>207</v>
      </c>
      <c r="AE5" s="165"/>
      <c r="AF5" s="165"/>
      <c r="AG5" s="165"/>
      <c r="AH5" s="165"/>
      <c r="AI5" s="345" t="s">
        <v>193</v>
      </c>
      <c r="AJ5" s="345"/>
      <c r="AK5" s="165">
        <v>5</v>
      </c>
      <c r="AL5" s="165"/>
    </row>
    <row r="6" spans="1:38" ht="12.75">
      <c r="A6" s="327"/>
      <c r="B6" s="352"/>
      <c r="C6" s="352"/>
      <c r="D6" s="352"/>
      <c r="E6" s="352"/>
      <c r="F6" s="352"/>
      <c r="G6" s="352"/>
      <c r="H6" s="352"/>
      <c r="I6" s="327"/>
      <c r="L6" s="268" t="s">
        <v>172</v>
      </c>
      <c r="M6" s="268"/>
      <c r="N6" s="268"/>
      <c r="O6" s="268"/>
      <c r="P6" s="268"/>
      <c r="Q6" s="268"/>
      <c r="R6" s="268"/>
      <c r="AA6" s="343" t="s">
        <v>209</v>
      </c>
      <c r="AB6" s="343"/>
      <c r="AC6" s="343"/>
      <c r="AD6" s="165" t="s">
        <v>208</v>
      </c>
      <c r="AE6" s="165"/>
      <c r="AF6" s="165"/>
      <c r="AG6" s="165"/>
      <c r="AH6" s="165"/>
      <c r="AI6" s="345" t="s">
        <v>194</v>
      </c>
      <c r="AJ6" s="345"/>
      <c r="AK6" s="165">
        <v>6</v>
      </c>
      <c r="AL6" s="165"/>
    </row>
    <row r="7" spans="1:38" ht="12.75">
      <c r="A7" s="327"/>
      <c r="B7" s="352"/>
      <c r="C7" s="352"/>
      <c r="D7" s="352"/>
      <c r="E7" s="352"/>
      <c r="F7" s="352"/>
      <c r="G7" s="352"/>
      <c r="H7" s="352"/>
      <c r="I7" s="327"/>
      <c r="L7" s="268" t="s">
        <v>173</v>
      </c>
      <c r="M7" s="268"/>
      <c r="N7" s="268"/>
      <c r="O7" s="268"/>
      <c r="P7" s="268"/>
      <c r="Q7" s="268"/>
      <c r="R7" s="268"/>
      <c r="AA7" s="343" t="s">
        <v>39</v>
      </c>
      <c r="AB7" s="343"/>
      <c r="AC7" s="343"/>
      <c r="AD7" s="165" t="s">
        <v>38</v>
      </c>
      <c r="AE7" s="165"/>
      <c r="AF7" s="165"/>
      <c r="AG7" s="165"/>
      <c r="AH7" s="165"/>
      <c r="AI7" s="345" t="s">
        <v>195</v>
      </c>
      <c r="AJ7" s="345"/>
      <c r="AK7" s="165">
        <v>7</v>
      </c>
      <c r="AL7" s="165"/>
    </row>
    <row r="8" spans="1:38" ht="12.75">
      <c r="A8" s="327"/>
      <c r="B8" s="352"/>
      <c r="C8" s="352"/>
      <c r="D8" s="352"/>
      <c r="E8" s="352"/>
      <c r="F8" s="352"/>
      <c r="G8" s="352"/>
      <c r="H8" s="352"/>
      <c r="I8" s="327"/>
      <c r="L8" s="268" t="s">
        <v>174</v>
      </c>
      <c r="M8" s="268"/>
      <c r="N8" s="268"/>
      <c r="O8" s="268"/>
      <c r="P8" s="268"/>
      <c r="Q8" s="268"/>
      <c r="R8" s="268"/>
      <c r="AA8" s="343" t="str">
        <f>IF(AB3=1,"За годината",IF(AB3&lt;1,"За периода",""))</f>
        <v>За периода</v>
      </c>
      <c r="AB8" s="343"/>
      <c r="AC8" s="343"/>
      <c r="AD8" s="165"/>
      <c r="AE8" s="165"/>
      <c r="AF8" s="165"/>
      <c r="AG8" s="165"/>
      <c r="AH8" s="165"/>
      <c r="AI8" s="345" t="s">
        <v>196</v>
      </c>
      <c r="AJ8" s="345"/>
      <c r="AK8" s="165">
        <v>8</v>
      </c>
      <c r="AL8" s="165"/>
    </row>
    <row r="9" spans="1:38" ht="12.75">
      <c r="A9" s="327"/>
      <c r="B9" s="327"/>
      <c r="C9" s="327"/>
      <c r="D9" s="327"/>
      <c r="E9" s="327"/>
      <c r="F9" s="327"/>
      <c r="G9" s="327"/>
      <c r="H9" s="327"/>
      <c r="I9" s="327"/>
      <c r="L9" s="268" t="s">
        <v>175</v>
      </c>
      <c r="M9" s="268"/>
      <c r="N9" s="268"/>
      <c r="O9" s="268"/>
      <c r="P9" s="268"/>
      <c r="Q9" s="268"/>
      <c r="R9" s="268"/>
      <c r="AA9" s="165" t="s">
        <v>65</v>
      </c>
      <c r="AB9" s="165"/>
      <c r="AC9" s="165"/>
      <c r="AD9" s="165"/>
      <c r="AE9" s="165"/>
      <c r="AF9" s="165"/>
      <c r="AG9" s="165"/>
      <c r="AH9" s="165"/>
      <c r="AI9" s="345" t="s">
        <v>197</v>
      </c>
      <c r="AJ9" s="345"/>
      <c r="AK9" s="165">
        <v>9</v>
      </c>
      <c r="AL9" s="165"/>
    </row>
    <row r="10" spans="1:38" ht="12.75">
      <c r="A10" s="327"/>
      <c r="B10" s="327"/>
      <c r="C10" s="327"/>
      <c r="D10" s="327"/>
      <c r="E10" s="327"/>
      <c r="F10" s="327"/>
      <c r="G10" s="327"/>
      <c r="H10" s="327"/>
      <c r="I10" s="327"/>
      <c r="L10" s="268" t="s">
        <v>48</v>
      </c>
      <c r="M10" s="268"/>
      <c r="N10" s="268"/>
      <c r="O10" s="268"/>
      <c r="P10" s="268"/>
      <c r="Q10" s="268"/>
      <c r="R10" s="268"/>
      <c r="AA10" s="165" t="s">
        <v>64</v>
      </c>
      <c r="AB10" s="165"/>
      <c r="AC10" s="165"/>
      <c r="AD10" s="165"/>
      <c r="AE10" s="165"/>
      <c r="AF10" s="165"/>
      <c r="AG10" s="165"/>
      <c r="AH10" s="165"/>
      <c r="AI10" s="345" t="s">
        <v>198</v>
      </c>
      <c r="AJ10" s="345"/>
      <c r="AK10" s="165">
        <v>10</v>
      </c>
      <c r="AL10" s="165"/>
    </row>
    <row r="11" spans="1:38" ht="12.75">
      <c r="A11" s="327"/>
      <c r="B11" s="327"/>
      <c r="C11" s="327"/>
      <c r="D11" s="327"/>
      <c r="E11" s="327"/>
      <c r="F11" s="327"/>
      <c r="G11" s="327"/>
      <c r="H11" s="327"/>
      <c r="I11" s="327"/>
      <c r="L11" s="268" t="s">
        <v>47</v>
      </c>
      <c r="M11" s="268"/>
      <c r="N11" s="268"/>
      <c r="O11" s="268"/>
      <c r="P11" s="268"/>
      <c r="Q11" s="268"/>
      <c r="R11" s="268"/>
      <c r="AA11" s="165"/>
      <c r="AB11" s="165"/>
      <c r="AC11" s="165"/>
      <c r="AD11" s="165"/>
      <c r="AE11" s="165"/>
      <c r="AF11" s="165"/>
      <c r="AG11" s="165"/>
      <c r="AH11" s="165"/>
      <c r="AI11" s="345" t="s">
        <v>199</v>
      </c>
      <c r="AJ11" s="345"/>
      <c r="AK11" s="165">
        <v>11</v>
      </c>
      <c r="AL11" s="165"/>
    </row>
    <row r="12" spans="1:38" ht="12.75">
      <c r="A12" s="327"/>
      <c r="B12" s="327"/>
      <c r="C12" s="327"/>
      <c r="D12" s="327"/>
      <c r="E12" s="327"/>
      <c r="F12" s="327"/>
      <c r="G12" s="327"/>
      <c r="H12" s="327"/>
      <c r="I12" s="327"/>
      <c r="L12" s="268" t="s">
        <v>176</v>
      </c>
      <c r="M12" s="268"/>
      <c r="N12" s="268"/>
      <c r="O12" s="268"/>
      <c r="P12" s="268"/>
      <c r="Q12" s="268"/>
      <c r="R12" s="268"/>
      <c r="AA12" s="165" t="str">
        <f>CONCATENATE("ОТЧЕТ ЗА ДОХОДИТЕ ",НАЧАЛО!AA3,НАЧАЛО!AD1," година")</f>
        <v>ОТЧЕТ ЗА ДОХОДИТЕ към 31.3.2009 година</v>
      </c>
      <c r="AB12" s="165"/>
      <c r="AC12" s="165"/>
      <c r="AD12" s="165"/>
      <c r="AE12" s="165"/>
      <c r="AF12" s="165"/>
      <c r="AG12" s="165"/>
      <c r="AH12" s="165"/>
      <c r="AI12" s="345" t="s">
        <v>200</v>
      </c>
      <c r="AJ12" s="345"/>
      <c r="AK12" s="165">
        <v>12</v>
      </c>
      <c r="AL12" s="165"/>
    </row>
    <row r="13" spans="1:38" ht="12.75">
      <c r="A13" s="327"/>
      <c r="B13" s="327"/>
      <c r="C13" s="327"/>
      <c r="D13" s="327"/>
      <c r="E13" s="327"/>
      <c r="F13" s="327"/>
      <c r="G13" s="327"/>
      <c r="H13" s="327"/>
      <c r="I13" s="327"/>
      <c r="L13" s="268" t="s">
        <v>49</v>
      </c>
      <c r="M13" s="268"/>
      <c r="N13" s="268"/>
      <c r="O13" s="268"/>
      <c r="P13" s="268"/>
      <c r="Q13" s="268"/>
      <c r="R13" s="268"/>
      <c r="AA13" s="165" t="str">
        <f>CONCATENATE("СЧЕТОВОДЕН БАЛАНС ","към ",DAY(НАЧАЛО!AA$2),".",MONTH(НАЧАЛО!AA$2),".",YEAR(НАЧАЛО!AA$2)," година")</f>
        <v>СЧЕТОВОДЕН БАЛАНС към 31.3.2009 година</v>
      </c>
      <c r="AB13" s="165"/>
      <c r="AC13" s="165"/>
      <c r="AD13" s="165"/>
      <c r="AE13" s="165"/>
      <c r="AF13" s="165"/>
      <c r="AG13" s="165"/>
      <c r="AH13" s="165"/>
      <c r="AI13" s="345"/>
      <c r="AJ13" s="345"/>
      <c r="AK13" s="165"/>
      <c r="AL13" s="165"/>
    </row>
    <row r="14" spans="1:38" ht="12.75">
      <c r="A14" s="327"/>
      <c r="B14" s="327"/>
      <c r="C14" s="327"/>
      <c r="D14" s="327"/>
      <c r="E14" s="327"/>
      <c r="F14" s="327"/>
      <c r="G14" s="327"/>
      <c r="H14" s="327"/>
      <c r="I14" s="327"/>
      <c r="L14" s="268" t="s">
        <v>50</v>
      </c>
      <c r="M14" s="268"/>
      <c r="N14" s="268"/>
      <c r="O14" s="268"/>
      <c r="P14" s="268"/>
      <c r="Q14" s="268"/>
      <c r="R14" s="268"/>
      <c r="AA14" s="165" t="str">
        <f>CONCATENATE("ОТЧЕТ ЗА ПАРИЧНИТЕ ПОТОЦИ ",НАЧАЛО!AA3,НАЧАЛО!AD1," година")</f>
        <v>ОТЧЕТ ЗА ПАРИЧНИТЕ ПОТОЦИ към 31.3.2009 година</v>
      </c>
      <c r="AB14" s="165"/>
      <c r="AC14" s="165"/>
      <c r="AD14" s="165"/>
      <c r="AE14" s="165"/>
      <c r="AF14" s="165"/>
      <c r="AG14" s="165"/>
      <c r="AH14" s="165"/>
      <c r="AI14" s="345"/>
      <c r="AJ14" s="345"/>
      <c r="AK14" s="165"/>
      <c r="AL14" s="165"/>
    </row>
    <row r="15" spans="1:38" ht="12.75">
      <c r="A15" s="327"/>
      <c r="B15" s="327"/>
      <c r="C15" s="327"/>
      <c r="D15" s="327"/>
      <c r="E15" s="327"/>
      <c r="F15" s="327"/>
      <c r="G15" s="327"/>
      <c r="H15" s="327"/>
      <c r="I15" s="327"/>
      <c r="L15" s="268" t="s">
        <v>67</v>
      </c>
      <c r="M15" s="268"/>
      <c r="N15" s="268"/>
      <c r="O15" s="268"/>
      <c r="P15" s="268"/>
      <c r="Q15" s="268"/>
      <c r="R15" s="268"/>
      <c r="AA15" s="165" t="str">
        <f>CONCATENATE("ОТЧЕТ ЗА ПРОМЕНИТЕ В СОБСТВЕНИЯ КАПИТАЛ към ",НАЧАЛО!AA1,".",НАЧАЛО!AB1,".",НАЧАЛО!AC1," година")</f>
        <v>ОТЧЕТ ЗА ПРОМЕНИТЕ В СОБСТВЕНИЯ КАПИТАЛ към 31.3.2009 година</v>
      </c>
      <c r="AB15" s="165"/>
      <c r="AC15" s="165"/>
      <c r="AD15" s="165"/>
      <c r="AE15" s="165"/>
      <c r="AF15" s="165"/>
      <c r="AG15" s="165"/>
      <c r="AH15" s="165"/>
      <c r="AI15" s="345"/>
      <c r="AJ15" s="345"/>
      <c r="AK15" s="165"/>
      <c r="AL15" s="165"/>
    </row>
    <row r="16" spans="1:38" ht="12.75">
      <c r="A16" s="327"/>
      <c r="B16" s="327"/>
      <c r="C16" s="327"/>
      <c r="D16" s="327"/>
      <c r="E16" s="327"/>
      <c r="F16" s="327"/>
      <c r="G16" s="327"/>
      <c r="H16" s="327"/>
      <c r="I16" s="327"/>
      <c r="L16" s="268" t="s">
        <v>51</v>
      </c>
      <c r="M16" s="268"/>
      <c r="N16" s="268"/>
      <c r="O16" s="268"/>
      <c r="P16" s="268"/>
      <c r="Q16" s="268"/>
      <c r="R16" s="268"/>
      <c r="AA16" s="165" t="str">
        <f>IF(O$34="КП",AA$9&amp;AA12,IF(O$34="КК",AA$10&amp;AA12,AA12))</f>
        <v>ОТЧЕТ ЗА ДОХОДИТЕ към 31.3.2009 година</v>
      </c>
      <c r="AB16" s="165"/>
      <c r="AC16" s="165"/>
      <c r="AD16" s="165"/>
      <c r="AE16" s="165"/>
      <c r="AF16" s="165"/>
      <c r="AG16" s="165"/>
      <c r="AH16" s="165"/>
      <c r="AI16" s="345"/>
      <c r="AJ16" s="345"/>
      <c r="AK16" s="165"/>
      <c r="AL16" s="165"/>
    </row>
    <row r="17" spans="1:38" ht="12.75">
      <c r="A17" s="327"/>
      <c r="B17" s="327"/>
      <c r="C17" s="327"/>
      <c r="D17" s="327"/>
      <c r="E17" s="327"/>
      <c r="F17" s="327"/>
      <c r="G17" s="327"/>
      <c r="H17" s="327"/>
      <c r="I17" s="327"/>
      <c r="L17" s="268" t="s">
        <v>52</v>
      </c>
      <c r="M17" s="268"/>
      <c r="N17" s="268"/>
      <c r="O17" s="268"/>
      <c r="P17" s="268"/>
      <c r="Q17" s="268"/>
      <c r="R17" s="268"/>
      <c r="S17" s="265"/>
      <c r="AA17" s="165" t="str">
        <f>IF(O$34="КП",AA$9&amp;AA13,IF(O$34="КК",AA$10&amp;AA13,AA13))</f>
        <v>СЧЕТОВОДЕН БАЛАНС към 31.3.2009 година</v>
      </c>
      <c r="AB17" s="165"/>
      <c r="AC17" s="165"/>
      <c r="AD17" s="165"/>
      <c r="AE17" s="165"/>
      <c r="AF17" s="165"/>
      <c r="AG17" s="165"/>
      <c r="AH17" s="165"/>
      <c r="AI17" s="345"/>
      <c r="AJ17" s="345"/>
      <c r="AK17" s="165"/>
      <c r="AL17" s="165"/>
    </row>
    <row r="18" spans="1:38" ht="12.75">
      <c r="A18" s="327"/>
      <c r="B18" s="327"/>
      <c r="C18" s="327"/>
      <c r="D18" s="327"/>
      <c r="E18" s="327"/>
      <c r="F18" s="327"/>
      <c r="G18" s="327"/>
      <c r="H18" s="327"/>
      <c r="I18" s="327"/>
      <c r="L18" s="268" t="s">
        <v>66</v>
      </c>
      <c r="M18" s="268"/>
      <c r="N18" s="268"/>
      <c r="O18" s="268"/>
      <c r="P18" s="268"/>
      <c r="Q18" s="268"/>
      <c r="R18" s="268"/>
      <c r="AA18" s="165" t="str">
        <f>IF(O$34="КП",AA$9&amp;AA14,IF(O$34="КК",AA$10&amp;AA14,AA14))</f>
        <v>ОТЧЕТ ЗА ПАРИЧНИТЕ ПОТОЦИ към 31.3.2009 година</v>
      </c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</row>
    <row r="19" spans="1:38" ht="12.75">
      <c r="A19" s="327"/>
      <c r="B19" s="327"/>
      <c r="C19" s="327"/>
      <c r="D19" s="327"/>
      <c r="E19" s="327"/>
      <c r="F19" s="327"/>
      <c r="G19" s="327"/>
      <c r="H19" s="327"/>
      <c r="I19" s="327"/>
      <c r="L19" s="268" t="s">
        <v>53</v>
      </c>
      <c r="M19" s="268"/>
      <c r="N19" s="268"/>
      <c r="O19" s="268"/>
      <c r="P19" s="268"/>
      <c r="Q19" s="268"/>
      <c r="R19" s="268"/>
      <c r="AA19" s="165" t="str">
        <f>IF(O$34="КП",AA$9&amp;AA15,IF(O$34="КК",AA$10&amp;AA15,AA15))</f>
        <v>ОТЧЕТ ЗА ПРОМЕНИТЕ В СОБСТВЕНИЯ КАПИТАЛ към 31.3.2009 година</v>
      </c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</row>
    <row r="20" spans="1:18" ht="12.75" customHeight="1">
      <c r="A20" s="327"/>
      <c r="B20" s="327"/>
      <c r="C20" s="327"/>
      <c r="D20" s="327"/>
      <c r="E20" s="327"/>
      <c r="F20" s="327"/>
      <c r="G20" s="327"/>
      <c r="H20" s="327"/>
      <c r="I20" s="327"/>
      <c r="L20" s="268" t="s">
        <v>54</v>
      </c>
      <c r="M20" s="268"/>
      <c r="N20" s="268"/>
      <c r="O20" s="268"/>
      <c r="P20" s="268"/>
      <c r="Q20" s="268"/>
      <c r="R20" s="268"/>
    </row>
    <row r="21" spans="1:18" ht="12.75" customHeight="1">
      <c r="A21" s="327"/>
      <c r="B21" s="327"/>
      <c r="C21" s="327"/>
      <c r="D21" s="327"/>
      <c r="E21" s="327"/>
      <c r="F21" s="327"/>
      <c r="G21" s="327"/>
      <c r="H21" s="327"/>
      <c r="I21" s="327"/>
      <c r="L21" s="268" t="s">
        <v>55</v>
      </c>
      <c r="M21" s="268"/>
      <c r="N21" s="268"/>
      <c r="O21" s="268"/>
      <c r="P21" s="268"/>
      <c r="Q21" s="268"/>
      <c r="R21" s="268"/>
    </row>
    <row r="22" spans="1:18" ht="12.75" customHeight="1">
      <c r="A22" s="327"/>
      <c r="B22" s="327"/>
      <c r="C22" s="327"/>
      <c r="D22" s="327"/>
      <c r="E22" s="327"/>
      <c r="F22" s="327"/>
      <c r="G22" s="327"/>
      <c r="H22" s="327"/>
      <c r="I22" s="327"/>
      <c r="L22" s="268" t="s">
        <v>57</v>
      </c>
      <c r="M22" s="268"/>
      <c r="N22" s="268"/>
      <c r="O22" s="268"/>
      <c r="P22" s="268"/>
      <c r="Q22" s="268"/>
      <c r="R22" s="268"/>
    </row>
    <row r="23" spans="1:18" ht="12.75" customHeight="1">
      <c r="A23" s="348" t="str">
        <f>IF(JJ61=JK61,"КОНСОЛИДАЦИОНЕН ПАКЕТ",CONCATENATE(AA4," ФИНАНСОВ ОТЧЕТ"))</f>
        <v>САМОСТОЯТЕЛЕН ФИНАНСОВ ОТЧЕТ</v>
      </c>
      <c r="B23" s="348"/>
      <c r="C23" s="348"/>
      <c r="D23" s="348"/>
      <c r="E23" s="348"/>
      <c r="F23" s="348"/>
      <c r="G23" s="348"/>
      <c r="H23" s="348"/>
      <c r="I23" s="348"/>
      <c r="J23" s="266"/>
      <c r="L23" s="268" t="s">
        <v>56</v>
      </c>
      <c r="M23" s="268"/>
      <c r="N23" s="268"/>
      <c r="O23" s="268"/>
      <c r="P23" s="268"/>
      <c r="Q23" s="268"/>
      <c r="R23" s="268"/>
    </row>
    <row r="24" spans="1:18" ht="15.75" customHeight="1">
      <c r="A24" s="348"/>
      <c r="B24" s="348"/>
      <c r="C24" s="348"/>
      <c r="D24" s="348"/>
      <c r="E24" s="348"/>
      <c r="F24" s="348"/>
      <c r="G24" s="348"/>
      <c r="H24" s="348"/>
      <c r="I24" s="348"/>
      <c r="J24" s="266"/>
      <c r="L24" s="268" t="s">
        <v>78</v>
      </c>
      <c r="M24" s="268"/>
      <c r="N24" s="268"/>
      <c r="O24" s="319">
        <v>40268</v>
      </c>
      <c r="P24" s="268"/>
      <c r="Q24" s="268"/>
      <c r="R24" s="268"/>
    </row>
    <row r="25" spans="1:18" ht="12.75" customHeight="1">
      <c r="A25" s="329"/>
      <c r="B25" s="329"/>
      <c r="C25" s="353" t="str">
        <f>CONCATENATE(AA8," към ",AA1,".",AB1,".",AC1," г.")</f>
        <v>За периода към 31.3.2009 г.</v>
      </c>
      <c r="D25" s="353"/>
      <c r="E25" s="353"/>
      <c r="F25" s="353"/>
      <c r="G25" s="353"/>
      <c r="H25" s="329"/>
      <c r="I25" s="329"/>
      <c r="J25" s="266"/>
      <c r="L25" s="323"/>
      <c r="M25" s="323"/>
      <c r="N25" s="323"/>
      <c r="O25" s="323"/>
      <c r="P25" s="323"/>
      <c r="Q25" s="323"/>
      <c r="R25" s="324"/>
    </row>
    <row r="26" spans="1:18" ht="12.75" customHeight="1">
      <c r="A26" s="329"/>
      <c r="B26" s="329"/>
      <c r="C26" s="353"/>
      <c r="D26" s="353"/>
      <c r="E26" s="353"/>
      <c r="F26" s="353"/>
      <c r="G26" s="353"/>
      <c r="H26" s="329"/>
      <c r="I26" s="329"/>
      <c r="J26" s="266"/>
      <c r="L26" s="323" t="s">
        <v>177</v>
      </c>
      <c r="M26" s="323"/>
      <c r="N26" s="323"/>
      <c r="O26" s="324"/>
      <c r="P26" s="324"/>
      <c r="Q26" s="324"/>
      <c r="R26" s="323"/>
    </row>
    <row r="27" spans="1:18" ht="12.75" customHeight="1">
      <c r="A27" s="327"/>
      <c r="B27" s="327"/>
      <c r="C27" s="327"/>
      <c r="D27" s="327"/>
      <c r="E27" s="327"/>
      <c r="F27" s="327"/>
      <c r="G27" s="327"/>
      <c r="H27" s="327"/>
      <c r="I27" s="327"/>
      <c r="L27" s="344" t="s">
        <v>203</v>
      </c>
      <c r="M27" s="344"/>
      <c r="N27" s="344"/>
      <c r="O27" s="344"/>
      <c r="P27" s="344"/>
      <c r="Q27" s="344"/>
      <c r="R27" s="344"/>
    </row>
    <row r="28" spans="1:18" ht="12.75">
      <c r="A28" s="327"/>
      <c r="B28" s="327"/>
      <c r="C28" s="327"/>
      <c r="D28" s="327"/>
      <c r="E28" s="327"/>
      <c r="F28" s="327"/>
      <c r="G28" s="327"/>
      <c r="H28" s="327"/>
      <c r="I28" s="327"/>
      <c r="L28" s="323"/>
      <c r="M28" s="323"/>
      <c r="N28" s="323"/>
      <c r="O28" s="323"/>
      <c r="P28" s="323"/>
      <c r="Q28" s="323"/>
      <c r="R28" s="323"/>
    </row>
    <row r="29" spans="1:18" ht="21">
      <c r="A29" s="327"/>
      <c r="B29" s="355" t="str">
        <f>IF(JJ61=JK61,"С ИЗРАЗЕНО ОДИТОРСКО МНЕНИЕ","С НЕЗАВИСИМ ОДИТОРСКИ ДОКЛАД")</f>
        <v>С НЕЗАВИСИМ ОДИТОРСКИ ДОКЛАД</v>
      </c>
      <c r="C29" s="355"/>
      <c r="D29" s="355"/>
      <c r="E29" s="355"/>
      <c r="F29" s="355"/>
      <c r="G29" s="355"/>
      <c r="H29" s="355"/>
      <c r="I29" s="330"/>
      <c r="L29" s="323" t="s">
        <v>201</v>
      </c>
      <c r="M29" s="323"/>
      <c r="N29" s="323"/>
      <c r="O29" s="344" t="s">
        <v>202</v>
      </c>
      <c r="P29" s="344"/>
      <c r="Q29" s="344"/>
      <c r="R29" s="344"/>
    </row>
    <row r="30" spans="1:18" ht="21">
      <c r="A30" s="327"/>
      <c r="B30" s="355"/>
      <c r="C30" s="355"/>
      <c r="D30" s="355"/>
      <c r="E30" s="355"/>
      <c r="F30" s="355"/>
      <c r="G30" s="355"/>
      <c r="H30" s="355"/>
      <c r="I30" s="330"/>
      <c r="L30" s="323"/>
      <c r="M30" s="323"/>
      <c r="N30" s="323"/>
      <c r="O30" s="323"/>
      <c r="P30" s="323"/>
      <c r="Q30" s="323"/>
      <c r="R30" s="323"/>
    </row>
    <row r="31" spans="1:18" ht="12.75">
      <c r="A31" s="327"/>
      <c r="B31" s="327"/>
      <c r="C31" s="327"/>
      <c r="D31" s="327"/>
      <c r="E31" s="327"/>
      <c r="F31" s="327"/>
      <c r="G31" s="327"/>
      <c r="H31" s="327"/>
      <c r="I31" s="327"/>
      <c r="L31" s="323" t="s">
        <v>75</v>
      </c>
      <c r="M31" s="323"/>
      <c r="N31" s="323"/>
      <c r="O31" s="323"/>
      <c r="P31" s="323"/>
      <c r="Q31" s="323"/>
      <c r="R31" s="323"/>
    </row>
    <row r="32" spans="1:18" ht="12.75">
      <c r="A32" s="327"/>
      <c r="B32" s="327"/>
      <c r="C32" s="327"/>
      <c r="D32" s="331"/>
      <c r="E32" s="327"/>
      <c r="F32" s="327"/>
      <c r="G32" s="327"/>
      <c r="H32" s="327"/>
      <c r="I32" s="327"/>
      <c r="L32" s="323" t="s">
        <v>76</v>
      </c>
      <c r="M32" s="323"/>
      <c r="N32" s="323"/>
      <c r="O32" s="323"/>
      <c r="P32" s="323"/>
      <c r="Q32" s="323"/>
      <c r="R32" s="323"/>
    </row>
    <row r="33" spans="1:18" ht="12.75">
      <c r="A33" s="327"/>
      <c r="B33" s="327"/>
      <c r="C33" s="327"/>
      <c r="D33" s="327"/>
      <c r="E33" s="327"/>
      <c r="F33" s="327"/>
      <c r="G33" s="327"/>
      <c r="H33" s="327"/>
      <c r="I33" s="327"/>
      <c r="L33" s="323" t="s">
        <v>77</v>
      </c>
      <c r="M33" s="323"/>
      <c r="N33" s="323"/>
      <c r="O33" s="323"/>
      <c r="P33" s="323"/>
      <c r="Q33" s="323"/>
      <c r="R33" s="323"/>
    </row>
    <row r="34" spans="1:18" ht="12.75">
      <c r="A34" s="327"/>
      <c r="B34" s="327"/>
      <c r="C34" s="327"/>
      <c r="D34" s="327"/>
      <c r="E34" s="327"/>
      <c r="F34" s="327"/>
      <c r="G34" s="327"/>
      <c r="H34" s="327"/>
      <c r="I34" s="327"/>
      <c r="L34" s="323" t="s">
        <v>178</v>
      </c>
      <c r="M34" s="323"/>
      <c r="N34" s="323"/>
      <c r="O34" s="322" t="s">
        <v>208</v>
      </c>
      <c r="Q34" s="323"/>
      <c r="R34" s="323"/>
    </row>
    <row r="35" spans="1:18" ht="12.75">
      <c r="A35" s="327"/>
      <c r="B35" s="327"/>
      <c r="C35" s="327"/>
      <c r="D35" s="327"/>
      <c r="E35" s="327"/>
      <c r="F35" s="327"/>
      <c r="G35" s="327"/>
      <c r="H35" s="327"/>
      <c r="I35" s="327"/>
      <c r="L35" s="323"/>
      <c r="M35" s="323"/>
      <c r="N35" s="323"/>
      <c r="O35" s="323"/>
      <c r="P35" s="323"/>
      <c r="Q35" s="323"/>
      <c r="R35" s="323"/>
    </row>
    <row r="36" spans="1:18" ht="12.75">
      <c r="A36" s="327"/>
      <c r="B36" s="327"/>
      <c r="C36" s="327"/>
      <c r="D36" s="327"/>
      <c r="E36" s="327"/>
      <c r="F36" s="327"/>
      <c r="G36" s="327"/>
      <c r="H36" s="327"/>
      <c r="I36" s="327"/>
      <c r="L36" s="323" t="s">
        <v>179</v>
      </c>
      <c r="M36" s="323"/>
      <c r="N36" s="323"/>
      <c r="O36" s="346">
        <v>39903</v>
      </c>
      <c r="P36" s="344"/>
      <c r="Q36" s="323"/>
      <c r="R36" s="323"/>
    </row>
    <row r="37" spans="1:18" ht="12.75">
      <c r="A37" s="327"/>
      <c r="B37" s="327"/>
      <c r="C37" s="327"/>
      <c r="D37" s="327"/>
      <c r="E37" s="327"/>
      <c r="F37" s="327"/>
      <c r="G37" s="327"/>
      <c r="H37" s="327"/>
      <c r="I37" s="327"/>
      <c r="L37" s="323"/>
      <c r="M37" s="323"/>
      <c r="N37" s="323"/>
      <c r="O37" s="323"/>
      <c r="P37" s="323"/>
      <c r="Q37" s="323"/>
      <c r="R37" s="323"/>
    </row>
    <row r="38" spans="1:18" ht="12.75">
      <c r="A38" s="327"/>
      <c r="B38" s="327"/>
      <c r="C38" s="327"/>
      <c r="D38" s="327"/>
      <c r="E38" s="327"/>
      <c r="F38" s="327"/>
      <c r="G38" s="327"/>
      <c r="H38" s="327"/>
      <c r="I38" s="327"/>
      <c r="L38" s="323" t="s">
        <v>180</v>
      </c>
      <c r="M38" s="323"/>
      <c r="N38" s="323"/>
      <c r="O38" s="346">
        <v>39924</v>
      </c>
      <c r="P38" s="346"/>
      <c r="Q38" s="323"/>
      <c r="R38" s="323"/>
    </row>
    <row r="39" spans="1:18" ht="12.75">
      <c r="A39" s="327"/>
      <c r="B39" s="327"/>
      <c r="C39" s="327"/>
      <c r="D39" s="327"/>
      <c r="E39" s="327"/>
      <c r="F39" s="327"/>
      <c r="G39" s="327"/>
      <c r="H39" s="327"/>
      <c r="I39" s="327"/>
      <c r="L39" s="323"/>
      <c r="M39" s="323"/>
      <c r="N39" s="323"/>
      <c r="O39" s="323"/>
      <c r="P39" s="323"/>
      <c r="Q39" s="323"/>
      <c r="R39" s="323"/>
    </row>
    <row r="40" spans="1:18" ht="12.75">
      <c r="A40" s="327"/>
      <c r="B40" s="327"/>
      <c r="C40" s="327"/>
      <c r="D40" s="327"/>
      <c r="E40" s="327"/>
      <c r="F40" s="327"/>
      <c r="G40" s="327"/>
      <c r="H40" s="327"/>
      <c r="I40" s="327"/>
      <c r="L40" s="323"/>
      <c r="M40" s="323"/>
      <c r="N40" s="323"/>
      <c r="O40" s="323"/>
      <c r="P40" s="323"/>
      <c r="Q40" s="323"/>
      <c r="R40" s="323"/>
    </row>
    <row r="41" spans="1:18" ht="12.75">
      <c r="A41" s="327"/>
      <c r="B41" s="327"/>
      <c r="C41" s="327"/>
      <c r="D41" s="327"/>
      <c r="E41" s="327"/>
      <c r="F41" s="327"/>
      <c r="G41" s="327"/>
      <c r="H41" s="327"/>
      <c r="I41" s="327"/>
      <c r="L41" s="323" t="s">
        <v>184</v>
      </c>
      <c r="M41" s="323"/>
      <c r="N41" s="323"/>
      <c r="O41" s="344" t="s">
        <v>204</v>
      </c>
      <c r="P41" s="344"/>
      <c r="Q41" s="344"/>
      <c r="R41" s="344"/>
    </row>
    <row r="42" spans="1:18" ht="12.75">
      <c r="A42" s="327"/>
      <c r="B42" s="327"/>
      <c r="C42" s="327"/>
      <c r="D42" s="327"/>
      <c r="E42" s="327"/>
      <c r="F42" s="327"/>
      <c r="G42" s="327"/>
      <c r="H42" s="327"/>
      <c r="I42" s="327"/>
      <c r="L42" s="323"/>
      <c r="M42" s="323"/>
      <c r="N42" s="323"/>
      <c r="O42" s="323"/>
      <c r="P42" s="323"/>
      <c r="Q42" s="323"/>
      <c r="R42" s="323"/>
    </row>
    <row r="43" spans="1:18" ht="12.75">
      <c r="A43" s="327"/>
      <c r="B43" s="327"/>
      <c r="C43" s="327"/>
      <c r="D43" s="327"/>
      <c r="E43" s="327"/>
      <c r="F43" s="327"/>
      <c r="G43" s="327"/>
      <c r="H43" s="327"/>
      <c r="I43" s="327"/>
      <c r="L43" s="323" t="s">
        <v>183</v>
      </c>
      <c r="M43" s="323"/>
      <c r="N43" s="323"/>
      <c r="O43" s="344" t="s">
        <v>205</v>
      </c>
      <c r="P43" s="344"/>
      <c r="Q43" s="344"/>
      <c r="R43" s="344"/>
    </row>
    <row r="44" spans="1:18" ht="15">
      <c r="A44" s="347" t="s">
        <v>168</v>
      </c>
      <c r="B44" s="347"/>
      <c r="C44" s="347"/>
      <c r="D44" s="347"/>
      <c r="E44" s="327"/>
      <c r="F44" s="347" t="s">
        <v>93</v>
      </c>
      <c r="G44" s="347"/>
      <c r="H44" s="347"/>
      <c r="I44" s="347"/>
      <c r="L44" s="323"/>
      <c r="M44" s="323"/>
      <c r="N44" s="323"/>
      <c r="O44" s="323"/>
      <c r="P44" s="323"/>
      <c r="Q44" s="323"/>
      <c r="R44" s="323"/>
    </row>
    <row r="45" spans="1:18" ht="12.75">
      <c r="A45" s="327"/>
      <c r="B45" s="327"/>
      <c r="C45" s="327"/>
      <c r="D45" s="327"/>
      <c r="E45" s="327"/>
      <c r="F45" s="333"/>
      <c r="G45" s="333"/>
      <c r="H45" s="333"/>
      <c r="I45" s="333"/>
      <c r="L45" s="323" t="s">
        <v>185</v>
      </c>
      <c r="M45" s="323"/>
      <c r="N45" s="323"/>
      <c r="O45" s="344" t="s">
        <v>9</v>
      </c>
      <c r="P45" s="344"/>
      <c r="Q45" s="344"/>
      <c r="R45" s="344"/>
    </row>
    <row r="46" spans="1:18" ht="15">
      <c r="A46" s="349" t="str">
        <f>O41</f>
        <v>Явор Хайтов, Красимир Сланчев</v>
      </c>
      <c r="B46" s="349"/>
      <c r="C46" s="349"/>
      <c r="D46" s="349"/>
      <c r="E46" s="327"/>
      <c r="F46" s="349" t="str">
        <f>O43</f>
        <v>Ралица Кайджиева</v>
      </c>
      <c r="G46" s="349"/>
      <c r="H46" s="349"/>
      <c r="I46" s="349"/>
      <c r="L46" s="323"/>
      <c r="M46" s="323"/>
      <c r="N46" s="323"/>
      <c r="O46" s="323"/>
      <c r="P46" s="323"/>
      <c r="Q46" s="323"/>
      <c r="R46" s="323"/>
    </row>
    <row r="47" spans="1:18" ht="27" customHeight="1">
      <c r="A47" s="334"/>
      <c r="B47" s="334"/>
      <c r="C47" s="334"/>
      <c r="D47" s="334"/>
      <c r="E47" s="327"/>
      <c r="F47" s="334"/>
      <c r="G47" s="334"/>
      <c r="H47" s="334"/>
      <c r="I47" s="334"/>
      <c r="L47" s="356" t="s">
        <v>63</v>
      </c>
      <c r="M47" s="356"/>
      <c r="N47" s="356"/>
      <c r="O47" s="357" t="s">
        <v>8</v>
      </c>
      <c r="P47" s="357"/>
      <c r="Q47" s="357"/>
      <c r="R47" s="357"/>
    </row>
    <row r="48" spans="1:18" ht="15">
      <c r="A48" s="347"/>
      <c r="B48" s="347"/>
      <c r="C48" s="347"/>
      <c r="D48" s="347"/>
      <c r="E48" s="327"/>
      <c r="F48" s="347"/>
      <c r="G48" s="347"/>
      <c r="H48" s="347"/>
      <c r="I48" s="347"/>
      <c r="L48" s="323"/>
      <c r="M48" s="323"/>
      <c r="N48" s="323"/>
      <c r="O48" s="323"/>
      <c r="P48" s="323"/>
      <c r="Q48" s="323"/>
      <c r="R48" s="323"/>
    </row>
    <row r="49" spans="1:18" ht="15">
      <c r="A49" s="332"/>
      <c r="B49" s="332"/>
      <c r="C49" s="347" t="str">
        <f>IF(JJ61=JK61,"Заверил Консолидационния Пакет:","Заверил:")</f>
        <v>Заверил:</v>
      </c>
      <c r="D49" s="347"/>
      <c r="E49" s="347"/>
      <c r="F49" s="347"/>
      <c r="G49" s="347"/>
      <c r="H49" s="332"/>
      <c r="I49" s="332"/>
      <c r="L49" s="323" t="s">
        <v>186</v>
      </c>
      <c r="M49" s="323"/>
      <c r="N49" s="323"/>
      <c r="O49" s="323"/>
      <c r="P49" s="323"/>
      <c r="Q49" s="323"/>
      <c r="R49" s="323"/>
    </row>
    <row r="50" spans="1:18" ht="12.75">
      <c r="A50" s="333"/>
      <c r="B50" s="333"/>
      <c r="C50" s="333"/>
      <c r="D50" s="333"/>
      <c r="E50" s="333"/>
      <c r="F50" s="333"/>
      <c r="G50" s="333"/>
      <c r="H50" s="333"/>
      <c r="I50" s="333"/>
      <c r="L50" s="323" t="s">
        <v>187</v>
      </c>
      <c r="M50" s="323"/>
      <c r="N50" s="323"/>
      <c r="O50" s="323"/>
      <c r="P50" s="323"/>
      <c r="Q50" s="323"/>
      <c r="R50" s="323"/>
    </row>
    <row r="51" spans="1:18" ht="15">
      <c r="A51" s="334"/>
      <c r="B51" s="334"/>
      <c r="C51" s="347" t="str">
        <f>IF(JJ61=JK61,O47,O45)</f>
        <v>СОП „Ейч Ел Би България” ООД</v>
      </c>
      <c r="D51" s="347"/>
      <c r="E51" s="347"/>
      <c r="F51" s="347"/>
      <c r="G51" s="347"/>
      <c r="H51" s="334"/>
      <c r="I51" s="334"/>
      <c r="L51" s="323" t="s">
        <v>188</v>
      </c>
      <c r="M51" s="323"/>
      <c r="N51" s="323"/>
      <c r="O51" s="323"/>
      <c r="P51" s="323"/>
      <c r="Q51" s="323"/>
      <c r="R51" s="323"/>
    </row>
    <row r="52" spans="1:18" ht="15">
      <c r="A52" s="335"/>
      <c r="B52" s="335"/>
      <c r="C52" s="335"/>
      <c r="D52" s="336"/>
      <c r="E52" s="336"/>
      <c r="F52" s="336"/>
      <c r="G52" s="335"/>
      <c r="H52" s="335"/>
      <c r="I52" s="335"/>
      <c r="L52" s="323" t="s">
        <v>59</v>
      </c>
      <c r="M52" s="323"/>
      <c r="N52" s="323"/>
      <c r="O52" s="326" t="s">
        <v>60</v>
      </c>
      <c r="P52" s="264">
        <v>6</v>
      </c>
      <c r="Q52" s="325" t="s">
        <v>61</v>
      </c>
      <c r="R52" s="320">
        <v>35</v>
      </c>
    </row>
    <row r="53" spans="1:18" ht="12.75">
      <c r="A53" s="333"/>
      <c r="B53" s="333"/>
      <c r="C53" s="333"/>
      <c r="D53" s="333"/>
      <c r="E53" s="333"/>
      <c r="F53" s="333"/>
      <c r="G53" s="333"/>
      <c r="H53" s="333"/>
      <c r="I53" s="333"/>
      <c r="L53" s="323"/>
      <c r="M53" s="323"/>
      <c r="N53" s="323"/>
      <c r="O53" s="323"/>
      <c r="P53" s="323"/>
      <c r="Q53" s="323"/>
      <c r="R53" s="323"/>
    </row>
    <row r="54" spans="1:18" ht="12.75">
      <c r="A54" s="333"/>
      <c r="B54" s="333"/>
      <c r="C54" s="333"/>
      <c r="D54" s="333"/>
      <c r="E54" s="333"/>
      <c r="F54" s="333"/>
      <c r="G54" s="333"/>
      <c r="H54" s="333"/>
      <c r="I54" s="333"/>
      <c r="L54" s="323"/>
      <c r="M54" s="323"/>
      <c r="N54" s="323"/>
      <c r="O54" s="323"/>
      <c r="P54" s="323"/>
      <c r="Q54" s="323"/>
      <c r="R54" s="323"/>
    </row>
    <row r="55" spans="1:18" ht="15">
      <c r="A55" s="333"/>
      <c r="B55" s="333"/>
      <c r="C55" s="354"/>
      <c r="D55" s="354"/>
      <c r="E55" s="354"/>
      <c r="F55" s="354"/>
      <c r="G55" s="354"/>
      <c r="H55" s="333"/>
      <c r="I55" s="333"/>
      <c r="L55" s="323"/>
      <c r="M55" s="323"/>
      <c r="N55" s="323"/>
      <c r="O55" s="323"/>
      <c r="P55" s="323"/>
      <c r="Q55" s="323"/>
      <c r="R55" s="323"/>
    </row>
    <row r="56" spans="1:18" ht="12.75" customHeight="1">
      <c r="A56" s="333"/>
      <c r="B56" s="333"/>
      <c r="C56" s="351"/>
      <c r="D56" s="351"/>
      <c r="E56" s="351"/>
      <c r="F56" s="351"/>
      <c r="G56" s="351"/>
      <c r="H56" s="333"/>
      <c r="I56" s="333"/>
      <c r="L56" s="323"/>
      <c r="M56" s="323"/>
      <c r="N56" s="323"/>
      <c r="O56" s="323"/>
      <c r="P56" s="323"/>
      <c r="Q56" s="323"/>
      <c r="R56" s="323"/>
    </row>
    <row r="57" spans="1:18" ht="15">
      <c r="A57" s="331"/>
      <c r="B57" s="331"/>
      <c r="C57" s="350" t="str">
        <f>CONCATENATE(O29,", ",DAY(O38)," ",CHOOSE(AL1,AI1,AI2,AI3,AI4,AI5,AI6,AI7,AI8,AI9,AI10,AI11,AI12)," ",YEAR(O38)," г.")</f>
        <v>София, 21 април 2009 г.</v>
      </c>
      <c r="D57" s="350"/>
      <c r="E57" s="350"/>
      <c r="F57" s="350"/>
      <c r="G57" s="350"/>
      <c r="H57" s="331"/>
      <c r="I57" s="331"/>
      <c r="L57" s="323"/>
      <c r="M57" s="323"/>
      <c r="N57" s="323"/>
      <c r="O57" s="323"/>
      <c r="P57" s="323"/>
      <c r="Q57" s="323"/>
      <c r="R57" s="323"/>
    </row>
  </sheetData>
  <sheetProtection password="DC9E" sheet="1"/>
  <mergeCells count="50">
    <mergeCell ref="C49:G49"/>
    <mergeCell ref="O47:R47"/>
    <mergeCell ref="O41:R41"/>
    <mergeCell ref="O43:R43"/>
    <mergeCell ref="O45:R45"/>
    <mergeCell ref="C51:G51"/>
    <mergeCell ref="AI11:AJ11"/>
    <mergeCell ref="AI12:AJ12"/>
    <mergeCell ref="AI13:AJ13"/>
    <mergeCell ref="AI14:AJ14"/>
    <mergeCell ref="AI15:AJ15"/>
    <mergeCell ref="AI16:AJ16"/>
    <mergeCell ref="F46:I46"/>
    <mergeCell ref="B29:H30"/>
    <mergeCell ref="L47:N47"/>
    <mergeCell ref="C57:G57"/>
    <mergeCell ref="AA4:AC4"/>
    <mergeCell ref="AA5:AC5"/>
    <mergeCell ref="AA6:AC6"/>
    <mergeCell ref="C56:G56"/>
    <mergeCell ref="B3:H8"/>
    <mergeCell ref="C25:G26"/>
    <mergeCell ref="O36:P36"/>
    <mergeCell ref="C55:G55"/>
    <mergeCell ref="L27:R27"/>
    <mergeCell ref="O38:P38"/>
    <mergeCell ref="A48:D48"/>
    <mergeCell ref="F48:I48"/>
    <mergeCell ref="A23:I24"/>
    <mergeCell ref="A44:D44"/>
    <mergeCell ref="A46:D46"/>
    <mergeCell ref="F44:I44"/>
    <mergeCell ref="AI1:AJ1"/>
    <mergeCell ref="AI2:AJ2"/>
    <mergeCell ref="L1:R1"/>
    <mergeCell ref="AI7:AJ7"/>
    <mergeCell ref="AI3:AJ3"/>
    <mergeCell ref="AI4:AJ4"/>
    <mergeCell ref="AI5:AJ5"/>
    <mergeCell ref="AI6:AJ6"/>
    <mergeCell ref="AD1:AE1"/>
    <mergeCell ref="AF1:AG1"/>
    <mergeCell ref="AA2:AB2"/>
    <mergeCell ref="AA7:AC7"/>
    <mergeCell ref="O29:R29"/>
    <mergeCell ref="AI10:AJ10"/>
    <mergeCell ref="AI17:AJ17"/>
    <mergeCell ref="AA8:AC8"/>
    <mergeCell ref="AI8:AJ8"/>
    <mergeCell ref="AI9:AJ9"/>
  </mergeCells>
  <conditionalFormatting sqref="A1:B57 C49 H1:I57 C1:G48 C50:G57">
    <cfRule type="expression" priority="15" dxfId="0" stopIfTrue="1">
      <formula>JJ11&lt;&gt;JK11</formula>
    </cfRule>
    <cfRule type="expression" priority="16" dxfId="0" stopIfTrue="1">
      <formula>JJ12&gt;JK12</formula>
    </cfRule>
  </conditionalFormatting>
  <conditionalFormatting sqref="L31:L34 O34 L45 O45:R45">
    <cfRule type="expression" priority="5" dxfId="18" stopIfTrue="1">
      <formula>JJ61=JK61</formula>
    </cfRule>
  </conditionalFormatting>
  <conditionalFormatting sqref="L47:N47">
    <cfRule type="expression" priority="3" dxfId="20" stopIfTrue="1">
      <formula>JJ61=JK61</formula>
    </cfRule>
  </conditionalFormatting>
  <conditionalFormatting sqref="O47:R47">
    <cfRule type="expression" priority="2" dxfId="19" stopIfTrue="1">
      <formula>JJ61=JK61</formula>
    </cfRule>
  </conditionalFormatting>
  <conditionalFormatting sqref="L49:L52 O52:R52">
    <cfRule type="expression" priority="1" dxfId="18" stopIfTrue="1">
      <formula>JJ61=JK61</formula>
    </cfRule>
  </conditionalFormatting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Y13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43" sqref="C43"/>
    </sheetView>
  </sheetViews>
  <sheetFormatPr defaultColWidth="9.140625" defaultRowHeight="12.75"/>
  <cols>
    <col min="1" max="1" width="50.7109375" style="13" customWidth="1"/>
    <col min="2" max="2" width="1.7109375" style="13" customWidth="1"/>
    <col min="3" max="3" width="10.140625" style="33" bestFit="1" customWidth="1"/>
    <col min="4" max="4" width="1.7109375" style="34" hidden="1" customWidth="1"/>
    <col min="5" max="5" width="1.7109375" style="34" customWidth="1"/>
    <col min="6" max="6" width="12.7109375" style="13" customWidth="1"/>
    <col min="7" max="7" width="1.7109375" style="13" hidden="1" customWidth="1"/>
    <col min="8" max="8" width="1.7109375" style="13" customWidth="1"/>
    <col min="9" max="9" width="12.7109375" style="13" customWidth="1"/>
    <col min="10" max="18" width="1.7109375" style="13" hidden="1" customWidth="1"/>
    <col min="19" max="19" width="1.7109375" style="13" customWidth="1"/>
    <col min="20" max="16384" width="9.140625" style="13" customWidth="1"/>
  </cols>
  <sheetData>
    <row r="1" spans="1:25" ht="18" customHeight="1">
      <c r="A1" s="306" t="str">
        <f>ОПР!A1:I1</f>
        <v>"Железопътна Инфраструктура - Холдингово Дружество" АД</v>
      </c>
      <c r="B1" s="306"/>
      <c r="C1" s="306"/>
      <c r="D1" s="306"/>
      <c r="E1" s="306"/>
      <c r="F1" s="306"/>
      <c r="G1" s="306"/>
      <c r="H1" s="306"/>
      <c r="I1" s="306"/>
      <c r="J1" s="217"/>
      <c r="K1" s="217"/>
      <c r="L1" s="217"/>
      <c r="M1" s="217"/>
      <c r="N1" s="217"/>
      <c r="O1" s="217"/>
      <c r="P1" s="217"/>
      <c r="Q1" s="217"/>
      <c r="R1" s="217">
        <v>2</v>
      </c>
      <c r="S1" s="217"/>
      <c r="T1" s="314"/>
      <c r="U1" s="314"/>
      <c r="V1" s="314"/>
      <c r="W1" s="314"/>
      <c r="X1" s="314"/>
      <c r="Y1" s="314"/>
    </row>
    <row r="2" spans="1:19" s="14" customFormat="1" ht="15">
      <c r="A2" s="311" t="str">
        <f>НАЧАЛО!AA17</f>
        <v>СЧЕТОВОДЕН БАЛАНС към 31.3.2009 година</v>
      </c>
      <c r="B2" s="311"/>
      <c r="C2" s="311"/>
      <c r="D2" s="311"/>
      <c r="E2" s="311"/>
      <c r="F2" s="311"/>
      <c r="G2" s="311"/>
      <c r="H2" s="311"/>
      <c r="I2" s="311"/>
      <c r="J2" s="217"/>
      <c r="K2" s="217"/>
      <c r="L2" s="217"/>
      <c r="M2" s="217"/>
      <c r="N2" s="217"/>
      <c r="O2" s="217"/>
      <c r="P2" s="217"/>
      <c r="Q2" s="217"/>
      <c r="R2" s="217">
        <v>2</v>
      </c>
      <c r="S2" s="217"/>
    </row>
    <row r="3" spans="1:19" ht="15" customHeight="1">
      <c r="A3" s="40"/>
      <c r="B3" s="40"/>
      <c r="C3" s="41"/>
      <c r="D3" s="40"/>
      <c r="E3" s="40"/>
      <c r="F3" s="42"/>
      <c r="G3" s="40"/>
      <c r="H3" s="40"/>
      <c r="I3" s="42"/>
      <c r="J3" s="217"/>
      <c r="K3" s="217"/>
      <c r="L3" s="217"/>
      <c r="M3" s="217"/>
      <c r="N3" s="217"/>
      <c r="O3" s="217"/>
      <c r="P3" s="217"/>
      <c r="Q3" s="217"/>
      <c r="R3" s="217">
        <v>2</v>
      </c>
      <c r="S3" s="217"/>
    </row>
    <row r="4" spans="1:19" s="16" customFormat="1" ht="15">
      <c r="A4" s="43"/>
      <c r="B4" s="43"/>
      <c r="C4" s="44" t="s">
        <v>82</v>
      </c>
      <c r="D4" s="40"/>
      <c r="E4" s="40"/>
      <c r="F4" s="15">
        <f>НАЧАЛО!AA2</f>
        <v>39903</v>
      </c>
      <c r="G4" s="46"/>
      <c r="H4" s="46"/>
      <c r="I4" s="15" t="str">
        <f>CONCATENATE("31.12.",YEAR(НАЧАЛО!AA2)-1," г.")</f>
        <v>31.12.2008 г.</v>
      </c>
      <c r="J4" s="218"/>
      <c r="K4" s="218"/>
      <c r="L4" s="218"/>
      <c r="M4" s="218"/>
      <c r="N4" s="218"/>
      <c r="O4" s="218"/>
      <c r="P4" s="218"/>
      <c r="Q4" s="218"/>
      <c r="R4" s="218">
        <v>2</v>
      </c>
      <c r="S4" s="218"/>
    </row>
    <row r="5" spans="1:19" ht="18" customHeight="1">
      <c r="A5" s="47" t="s">
        <v>87</v>
      </c>
      <c r="B5" s="47"/>
      <c r="C5" s="41"/>
      <c r="D5" s="40"/>
      <c r="E5" s="40"/>
      <c r="F5" s="48" t="s">
        <v>94</v>
      </c>
      <c r="G5" s="49"/>
      <c r="H5" s="49"/>
      <c r="I5" s="48" t="s">
        <v>94</v>
      </c>
      <c r="J5" s="217"/>
      <c r="K5" s="217"/>
      <c r="L5" s="217"/>
      <c r="M5" s="217"/>
      <c r="N5" s="217"/>
      <c r="O5" s="217"/>
      <c r="P5" s="217"/>
      <c r="Q5" s="217"/>
      <c r="R5" s="217">
        <v>2</v>
      </c>
      <c r="S5" s="217"/>
    </row>
    <row r="6" spans="1:19" ht="9" customHeight="1">
      <c r="A6" s="50"/>
      <c r="B6" s="50"/>
      <c r="C6" s="41"/>
      <c r="D6" s="40"/>
      <c r="E6" s="40"/>
      <c r="F6" s="48"/>
      <c r="G6" s="49"/>
      <c r="H6" s="49"/>
      <c r="I6" s="48"/>
      <c r="J6" s="217"/>
      <c r="K6" s="217"/>
      <c r="L6" s="217"/>
      <c r="M6" s="217"/>
      <c r="N6" s="217"/>
      <c r="O6" s="217"/>
      <c r="P6" s="217"/>
      <c r="Q6" s="217"/>
      <c r="R6" s="217">
        <f>IF(R7=0,0,1)</f>
        <v>1</v>
      </c>
      <c r="S6" s="217"/>
    </row>
    <row r="7" spans="1:19" ht="16.5" customHeight="1">
      <c r="A7" s="51" t="s">
        <v>3</v>
      </c>
      <c r="B7" s="50"/>
      <c r="C7" s="41"/>
      <c r="D7" s="40"/>
      <c r="E7" s="40"/>
      <c r="F7" s="48"/>
      <c r="G7" s="49"/>
      <c r="H7" s="49"/>
      <c r="I7" s="48"/>
      <c r="J7" s="217"/>
      <c r="K7" s="217"/>
      <c r="L7" s="217"/>
      <c r="M7" s="217"/>
      <c r="N7" s="217"/>
      <c r="O7" s="217"/>
      <c r="P7" s="217"/>
      <c r="Q7" s="217"/>
      <c r="R7" s="217">
        <f>IF(R25=0,0,1)</f>
        <v>1</v>
      </c>
      <c r="S7" s="217"/>
    </row>
    <row r="8" spans="1:19" ht="6.75" customHeight="1">
      <c r="A8" s="47"/>
      <c r="B8" s="47"/>
      <c r="C8" s="52"/>
      <c r="D8" s="53"/>
      <c r="E8" s="53"/>
      <c r="F8" s="54"/>
      <c r="G8" s="55"/>
      <c r="H8" s="55"/>
      <c r="I8" s="54"/>
      <c r="J8" s="217"/>
      <c r="K8" s="217"/>
      <c r="L8" s="217"/>
      <c r="M8" s="217"/>
      <c r="N8" s="217"/>
      <c r="O8" s="217"/>
      <c r="P8" s="217"/>
      <c r="Q8" s="217"/>
      <c r="R8" s="217">
        <f>IF(R9=0,0,1)</f>
        <v>1</v>
      </c>
      <c r="S8" s="217"/>
    </row>
    <row r="9" spans="1:19" ht="15.75" customHeight="1">
      <c r="A9" s="56" t="s">
        <v>35</v>
      </c>
      <c r="B9" s="57"/>
      <c r="C9" s="107" t="str">
        <f>IF(AND(F9=0,I9=0),"",CONCATENATE("1.",D9,"."))</f>
        <v>1.1.</v>
      </c>
      <c r="D9" s="108">
        <f>IF(AND(F9=0,I9=0),0,MAX(D$8:D8)+1)</f>
        <v>1</v>
      </c>
      <c r="E9" s="108"/>
      <c r="F9" s="17">
        <v>84</v>
      </c>
      <c r="G9" s="18"/>
      <c r="H9" s="18"/>
      <c r="I9" s="17">
        <v>17</v>
      </c>
      <c r="J9" s="217"/>
      <c r="K9" s="217"/>
      <c r="L9" s="217"/>
      <c r="M9" s="217"/>
      <c r="N9" s="217"/>
      <c r="O9" s="217"/>
      <c r="P9" s="217"/>
      <c r="Q9" s="217"/>
      <c r="R9" s="217">
        <f>IF(AND(F9=0,I9=0),0,1)</f>
        <v>1</v>
      </c>
      <c r="S9" s="217"/>
    </row>
    <row r="10" spans="1:19" ht="9" customHeight="1" hidden="1">
      <c r="A10" s="60"/>
      <c r="B10" s="60"/>
      <c r="C10" s="61"/>
      <c r="D10" s="109"/>
      <c r="E10" s="109"/>
      <c r="F10" s="20"/>
      <c r="G10" s="21"/>
      <c r="H10" s="21"/>
      <c r="I10" s="20"/>
      <c r="J10" s="217"/>
      <c r="K10" s="217"/>
      <c r="L10" s="217"/>
      <c r="M10" s="217"/>
      <c r="N10" s="217"/>
      <c r="O10" s="217"/>
      <c r="P10" s="217"/>
      <c r="Q10" s="217"/>
      <c r="R10" s="217">
        <f>IF(R11=0,0,1)</f>
        <v>0</v>
      </c>
      <c r="S10" s="217"/>
    </row>
    <row r="11" spans="1:19" ht="15.75" customHeight="1" hidden="1">
      <c r="A11" s="56" t="s">
        <v>116</v>
      </c>
      <c r="B11" s="57"/>
      <c r="C11" s="107">
        <f>IF(AND(F11=0,I11=0),"",CONCATENATE("1.",D11,"."))</f>
      </c>
      <c r="D11" s="108">
        <f>IF(AND(F11=0,I11=0),0,MAX(D$8:D10)+1)</f>
        <v>0</v>
      </c>
      <c r="E11" s="108"/>
      <c r="F11" s="17"/>
      <c r="G11" s="18"/>
      <c r="H11" s="18"/>
      <c r="I11" s="17"/>
      <c r="J11" s="217"/>
      <c r="K11" s="217"/>
      <c r="L11" s="217"/>
      <c r="M11" s="217"/>
      <c r="N11" s="217"/>
      <c r="O11" s="217"/>
      <c r="P11" s="217"/>
      <c r="Q11" s="217"/>
      <c r="R11" s="217">
        <f>IF(AND(F11=0,I11=0),0,1)</f>
        <v>0</v>
      </c>
      <c r="S11" s="217"/>
    </row>
    <row r="12" spans="1:19" ht="9" customHeight="1">
      <c r="A12" s="60"/>
      <c r="B12" s="60"/>
      <c r="C12" s="61"/>
      <c r="D12" s="109"/>
      <c r="E12" s="109"/>
      <c r="F12" s="20"/>
      <c r="G12" s="21"/>
      <c r="H12" s="21"/>
      <c r="I12" s="20"/>
      <c r="J12" s="217"/>
      <c r="K12" s="217"/>
      <c r="L12" s="217"/>
      <c r="M12" s="217"/>
      <c r="N12" s="217"/>
      <c r="O12" s="217"/>
      <c r="P12" s="217"/>
      <c r="Q12" s="217"/>
      <c r="R12" s="217">
        <f>IF(R13=0,0,1)</f>
        <v>1</v>
      </c>
      <c r="S12" s="217"/>
    </row>
    <row r="13" spans="1:19" ht="15">
      <c r="A13" s="56" t="s">
        <v>97</v>
      </c>
      <c r="B13" s="57"/>
      <c r="C13" s="107" t="str">
        <f>IF(AND(F13=0,I13=0),"",CONCATENATE("1.",D13,"."))</f>
        <v>1.2.</v>
      </c>
      <c r="D13" s="108">
        <f>IF(AND(F13=0,I13=0),0,MAX(D$8:D12)+1)</f>
        <v>2</v>
      </c>
      <c r="E13" s="108"/>
      <c r="F13" s="17">
        <v>1</v>
      </c>
      <c r="G13" s="18"/>
      <c r="H13" s="18"/>
      <c r="I13" s="17">
        <v>1</v>
      </c>
      <c r="J13" s="217"/>
      <c r="K13" s="217"/>
      <c r="L13" s="217"/>
      <c r="M13" s="217"/>
      <c r="N13" s="217"/>
      <c r="O13" s="217"/>
      <c r="P13" s="217"/>
      <c r="Q13" s="217"/>
      <c r="R13" s="217">
        <f>IF(AND(F13=0,I13=0),0,1)</f>
        <v>1</v>
      </c>
      <c r="S13" s="217"/>
    </row>
    <row r="14" spans="1:19" ht="9" customHeight="1">
      <c r="A14" s="60"/>
      <c r="B14" s="60"/>
      <c r="C14" s="61"/>
      <c r="D14" s="109"/>
      <c r="E14" s="109"/>
      <c r="F14" s="20"/>
      <c r="G14" s="21"/>
      <c r="H14" s="21"/>
      <c r="I14" s="20"/>
      <c r="J14" s="217"/>
      <c r="K14" s="217"/>
      <c r="L14" s="217"/>
      <c r="M14" s="217"/>
      <c r="N14" s="217"/>
      <c r="O14" s="217"/>
      <c r="P14" s="217"/>
      <c r="Q14" s="217"/>
      <c r="R14" s="217">
        <f>IF(R15=0,0,1)</f>
        <v>1</v>
      </c>
      <c r="S14" s="217"/>
    </row>
    <row r="15" spans="1:19" ht="15">
      <c r="A15" s="56" t="s">
        <v>1</v>
      </c>
      <c r="B15" s="57"/>
      <c r="C15" s="107" t="str">
        <f>IF(AND(F15=0,I15=0),"",CONCATENATE("1.",D15,"."))</f>
        <v>1.3.</v>
      </c>
      <c r="D15" s="108">
        <f>IF(AND(F15=0,I15=0),0,MAX(D$8:D14)+1)</f>
        <v>3</v>
      </c>
      <c r="E15" s="108"/>
      <c r="F15" s="17">
        <v>59406</v>
      </c>
      <c r="G15" s="18"/>
      <c r="H15" s="18"/>
      <c r="I15" s="17">
        <v>59406</v>
      </c>
      <c r="J15" s="217"/>
      <c r="K15" s="217"/>
      <c r="L15" s="217"/>
      <c r="M15" s="217"/>
      <c r="N15" s="217"/>
      <c r="O15" s="217"/>
      <c r="P15" s="217"/>
      <c r="Q15" s="217"/>
      <c r="R15" s="217">
        <f>IF(AND(F15=0,I15=0),0,1)</f>
        <v>1</v>
      </c>
      <c r="S15" s="217"/>
    </row>
    <row r="16" spans="1:19" ht="9" customHeight="1" hidden="1">
      <c r="A16" s="60"/>
      <c r="B16" s="60"/>
      <c r="C16" s="61"/>
      <c r="D16" s="109"/>
      <c r="E16" s="109"/>
      <c r="F16" s="20"/>
      <c r="G16" s="21"/>
      <c r="H16" s="21"/>
      <c r="I16" s="20"/>
      <c r="J16" s="217"/>
      <c r="K16" s="217"/>
      <c r="L16" s="217"/>
      <c r="M16" s="217"/>
      <c r="N16" s="217"/>
      <c r="O16" s="217"/>
      <c r="P16" s="217"/>
      <c r="Q16" s="217"/>
      <c r="R16" s="217">
        <f>IF(R17=0,0,1)</f>
        <v>0</v>
      </c>
      <c r="S16" s="217"/>
    </row>
    <row r="17" spans="1:19" ht="15" hidden="1">
      <c r="A17" s="56" t="s">
        <v>80</v>
      </c>
      <c r="B17" s="57"/>
      <c r="C17" s="107">
        <f>IF(AND(F17=0,I17=0),"",CONCATENATE("1.",D17,"."))</f>
      </c>
      <c r="D17" s="108">
        <f>IF(AND(F17=0,I17=0),0,MAX(D$8:D16)+1)</f>
        <v>0</v>
      </c>
      <c r="E17" s="108"/>
      <c r="F17" s="17"/>
      <c r="G17" s="18"/>
      <c r="H17" s="18"/>
      <c r="I17" s="17"/>
      <c r="J17" s="217"/>
      <c r="K17" s="217"/>
      <c r="L17" s="217"/>
      <c r="M17" s="217"/>
      <c r="N17" s="217"/>
      <c r="O17" s="217"/>
      <c r="P17" s="217"/>
      <c r="Q17" s="217"/>
      <c r="R17" s="217">
        <f>IF(AND(F17=0,I17=0),0,1)</f>
        <v>0</v>
      </c>
      <c r="S17" s="217"/>
    </row>
    <row r="18" spans="1:19" ht="9" customHeight="1" hidden="1">
      <c r="A18" s="60"/>
      <c r="B18" s="60"/>
      <c r="C18" s="61"/>
      <c r="D18" s="109"/>
      <c r="E18" s="109"/>
      <c r="F18" s="19"/>
      <c r="G18" s="19"/>
      <c r="H18" s="19"/>
      <c r="I18" s="19"/>
      <c r="J18" s="217"/>
      <c r="K18" s="217"/>
      <c r="L18" s="217"/>
      <c r="M18" s="217"/>
      <c r="N18" s="217"/>
      <c r="O18" s="217"/>
      <c r="P18" s="217"/>
      <c r="Q18" s="217"/>
      <c r="R18" s="217">
        <f>IF(R19=0,0,1)</f>
        <v>0</v>
      </c>
      <c r="S18" s="217"/>
    </row>
    <row r="19" spans="1:19" ht="15" hidden="1">
      <c r="A19" s="56" t="s">
        <v>213</v>
      </c>
      <c r="B19" s="57"/>
      <c r="C19" s="107">
        <f>IF(AND(F19=0,I19=0),"",CONCATENATE("1.",D19,"."))</f>
      </c>
      <c r="D19" s="108">
        <f>IF(AND(F19=0,I19=0),0,MAX(D$8:D18)+1)</f>
        <v>0</v>
      </c>
      <c r="E19" s="108"/>
      <c r="F19" s="17"/>
      <c r="G19" s="18"/>
      <c r="H19" s="18"/>
      <c r="I19" s="17"/>
      <c r="J19" s="217"/>
      <c r="K19" s="217"/>
      <c r="L19" s="217"/>
      <c r="M19" s="217"/>
      <c r="N19" s="217"/>
      <c r="O19" s="217"/>
      <c r="P19" s="217"/>
      <c r="Q19" s="217"/>
      <c r="R19" s="217">
        <f>IF(AND(F19=0,I19=0),0,1)</f>
        <v>0</v>
      </c>
      <c r="S19" s="217"/>
    </row>
    <row r="20" spans="1:19" ht="9" customHeight="1">
      <c r="A20" s="60"/>
      <c r="B20" s="60"/>
      <c r="C20" s="61"/>
      <c r="D20" s="109"/>
      <c r="E20" s="109"/>
      <c r="F20" s="20"/>
      <c r="G20" s="21"/>
      <c r="H20" s="21"/>
      <c r="I20" s="20"/>
      <c r="J20" s="217"/>
      <c r="K20" s="217"/>
      <c r="L20" s="217"/>
      <c r="M20" s="217"/>
      <c r="N20" s="217"/>
      <c r="O20" s="217"/>
      <c r="P20" s="217"/>
      <c r="Q20" s="217"/>
      <c r="R20" s="217">
        <f>IF(R21=0,0,1)</f>
        <v>1</v>
      </c>
      <c r="S20" s="217"/>
    </row>
    <row r="21" spans="1:19" ht="15">
      <c r="A21" s="56" t="s">
        <v>115</v>
      </c>
      <c r="B21" s="57"/>
      <c r="C21" s="107" t="str">
        <f>IF(AND(F21=0,I21=0),"",CONCATENATE("1.",D21,"."))</f>
        <v>1.4.</v>
      </c>
      <c r="D21" s="108">
        <f>IF(AND(F21=0,I21=0),0,MAX(D$8:D20)+1)</f>
        <v>4</v>
      </c>
      <c r="E21" s="108"/>
      <c r="F21" s="17">
        <v>304</v>
      </c>
      <c r="G21" s="18"/>
      <c r="H21" s="18"/>
      <c r="I21" s="17">
        <v>304</v>
      </c>
      <c r="J21" s="217"/>
      <c r="K21" s="217"/>
      <c r="L21" s="217"/>
      <c r="M21" s="217"/>
      <c r="N21" s="217"/>
      <c r="O21" s="217"/>
      <c r="P21" s="217"/>
      <c r="Q21" s="217"/>
      <c r="R21" s="217">
        <f>IF(AND(F21=0,I21=0),0,1)</f>
        <v>1</v>
      </c>
      <c r="S21" s="217"/>
    </row>
    <row r="22" spans="1:19" ht="8.25" customHeight="1" hidden="1">
      <c r="A22" s="60"/>
      <c r="B22" s="60"/>
      <c r="C22" s="61"/>
      <c r="D22" s="109"/>
      <c r="E22" s="109"/>
      <c r="F22" s="22"/>
      <c r="G22" s="18"/>
      <c r="H22" s="18"/>
      <c r="I22" s="22"/>
      <c r="J22" s="217"/>
      <c r="K22" s="217"/>
      <c r="L22" s="217"/>
      <c r="M22" s="217"/>
      <c r="N22" s="217"/>
      <c r="O22" s="217"/>
      <c r="P22" s="217"/>
      <c r="Q22" s="217"/>
      <c r="R22" s="217">
        <f>IF(R23=0,0,1)</f>
        <v>0</v>
      </c>
      <c r="S22" s="217"/>
    </row>
    <row r="23" spans="1:19" ht="15" customHeight="1" hidden="1">
      <c r="A23" s="56" t="s">
        <v>214</v>
      </c>
      <c r="B23" s="60"/>
      <c r="C23" s="107">
        <f>IF(AND(F23=0,I23=0),"",CONCATENATE("1.",D23,"."))</f>
      </c>
      <c r="D23" s="108">
        <f>IF(AND(F23=0,I23=0),0,MAX(D$8:D22)+1)</f>
        <v>0</v>
      </c>
      <c r="E23" s="108"/>
      <c r="F23" s="17"/>
      <c r="G23" s="18"/>
      <c r="H23" s="18"/>
      <c r="I23" s="17"/>
      <c r="J23" s="217"/>
      <c r="K23" s="217"/>
      <c r="L23" s="217"/>
      <c r="M23" s="217"/>
      <c r="N23" s="217"/>
      <c r="O23" s="217"/>
      <c r="P23" s="217"/>
      <c r="Q23" s="217"/>
      <c r="R23" s="217">
        <f>IF(AND(F23=0,I23=0),0,1)</f>
        <v>0</v>
      </c>
      <c r="S23" s="217"/>
    </row>
    <row r="24" spans="1:19" ht="8.25" customHeight="1">
      <c r="A24" s="47"/>
      <c r="B24" s="47"/>
      <c r="C24" s="61"/>
      <c r="D24" s="109"/>
      <c r="E24" s="109"/>
      <c r="F24" s="65"/>
      <c r="G24" s="59"/>
      <c r="H24" s="59"/>
      <c r="I24" s="64"/>
      <c r="J24" s="217"/>
      <c r="K24" s="217"/>
      <c r="L24" s="217"/>
      <c r="M24" s="217"/>
      <c r="N24" s="217"/>
      <c r="O24" s="217"/>
      <c r="P24" s="217"/>
      <c r="Q24" s="217"/>
      <c r="R24" s="217">
        <f>IF(R25=0,0,1)</f>
        <v>1</v>
      </c>
      <c r="S24" s="217"/>
    </row>
    <row r="25" spans="1:19" ht="15.75">
      <c r="A25" s="66" t="s">
        <v>212</v>
      </c>
      <c r="B25" s="67"/>
      <c r="C25" s="68"/>
      <c r="D25" s="109"/>
      <c r="E25" s="109"/>
      <c r="F25" s="69">
        <f>F9+F11+F13+F15+F17+F19+F21+F23</f>
        <v>59795</v>
      </c>
      <c r="G25" s="55"/>
      <c r="H25" s="55"/>
      <c r="I25" s="69">
        <f>I9+I11+I13+I15+I17+I19+I21+I23</f>
        <v>59728</v>
      </c>
      <c r="J25" s="217"/>
      <c r="K25" s="217"/>
      <c r="L25" s="217"/>
      <c r="M25" s="217"/>
      <c r="N25" s="217"/>
      <c r="O25" s="217"/>
      <c r="P25" s="217"/>
      <c r="Q25" s="217"/>
      <c r="R25" s="217">
        <f>IF(AND(F25=0,I25=0),0,1)</f>
        <v>1</v>
      </c>
      <c r="S25" s="217"/>
    </row>
    <row r="26" spans="1:19" ht="9" customHeight="1">
      <c r="A26" s="47"/>
      <c r="B26" s="47"/>
      <c r="C26" s="52"/>
      <c r="D26" s="109"/>
      <c r="E26" s="109"/>
      <c r="F26" s="70"/>
      <c r="G26" s="70"/>
      <c r="H26" s="70"/>
      <c r="I26" s="70"/>
      <c r="J26" s="217"/>
      <c r="K26" s="217"/>
      <c r="L26" s="217"/>
      <c r="M26" s="217"/>
      <c r="N26" s="217"/>
      <c r="O26" s="217"/>
      <c r="P26" s="217"/>
      <c r="Q26" s="217"/>
      <c r="R26" s="217">
        <f>IF(R27=0,0,1)</f>
        <v>1</v>
      </c>
      <c r="S26" s="217"/>
    </row>
    <row r="27" spans="1:19" ht="16.5" customHeight="1">
      <c r="A27" s="47" t="s">
        <v>110</v>
      </c>
      <c r="B27" s="47"/>
      <c r="C27" s="52"/>
      <c r="D27" s="109"/>
      <c r="E27" s="109"/>
      <c r="F27" s="70"/>
      <c r="G27" s="70"/>
      <c r="H27" s="70"/>
      <c r="I27" s="70"/>
      <c r="J27" s="217"/>
      <c r="K27" s="217"/>
      <c r="L27" s="217"/>
      <c r="M27" s="217"/>
      <c r="N27" s="217"/>
      <c r="O27" s="217"/>
      <c r="P27" s="217"/>
      <c r="Q27" s="217"/>
      <c r="R27" s="217">
        <f>IF(R41=0,0,1)</f>
        <v>1</v>
      </c>
      <c r="S27" s="217"/>
    </row>
    <row r="28" spans="1:19" ht="6.75" customHeight="1" hidden="1">
      <c r="A28" s="47"/>
      <c r="B28" s="47"/>
      <c r="C28" s="52"/>
      <c r="D28" s="53"/>
      <c r="E28" s="53"/>
      <c r="F28" s="54"/>
      <c r="G28" s="55"/>
      <c r="H28" s="55"/>
      <c r="I28" s="54"/>
      <c r="J28" s="217"/>
      <c r="K28" s="217"/>
      <c r="L28" s="217"/>
      <c r="M28" s="217"/>
      <c r="N28" s="217"/>
      <c r="O28" s="217"/>
      <c r="P28" s="217"/>
      <c r="Q28" s="217"/>
      <c r="R28" s="217">
        <f>IF(R29=0,0,1)</f>
        <v>0</v>
      </c>
      <c r="S28" s="217"/>
    </row>
    <row r="29" spans="1:19" ht="15" customHeight="1" hidden="1">
      <c r="A29" s="56" t="s">
        <v>6</v>
      </c>
      <c r="B29" s="57"/>
      <c r="C29" s="107">
        <f>IF(AND(F29=0,I29=0),"",CONCATENATE("1.",D29,"."))</f>
      </c>
      <c r="D29" s="108">
        <f>IF(AND(F29=0,I29=0),0,MAX(D$8:D28)+1)</f>
        <v>0</v>
      </c>
      <c r="E29" s="108"/>
      <c r="F29" s="17"/>
      <c r="G29" s="18"/>
      <c r="H29" s="18"/>
      <c r="I29" s="17"/>
      <c r="J29" s="217"/>
      <c r="K29" s="217"/>
      <c r="L29" s="217"/>
      <c r="M29" s="217"/>
      <c r="N29" s="217"/>
      <c r="O29" s="217"/>
      <c r="P29" s="217"/>
      <c r="Q29" s="217"/>
      <c r="R29" s="217">
        <f>IF(AND(F29=0,I29=0),0,1)</f>
        <v>0</v>
      </c>
      <c r="S29" s="217"/>
    </row>
    <row r="30" spans="1:19" ht="9" customHeight="1" hidden="1">
      <c r="A30" s="60"/>
      <c r="B30" s="60"/>
      <c r="C30" s="61"/>
      <c r="D30" s="109"/>
      <c r="E30" s="109"/>
      <c r="F30" s="23"/>
      <c r="G30" s="23"/>
      <c r="H30" s="23"/>
      <c r="I30" s="23"/>
      <c r="J30" s="217"/>
      <c r="K30" s="217"/>
      <c r="L30" s="217"/>
      <c r="M30" s="217"/>
      <c r="N30" s="217"/>
      <c r="O30" s="217"/>
      <c r="P30" s="217"/>
      <c r="Q30" s="217"/>
      <c r="R30" s="217">
        <f>IF(R31=0,0,1)</f>
        <v>0</v>
      </c>
      <c r="S30" s="217"/>
    </row>
    <row r="31" spans="1:19" ht="15" hidden="1">
      <c r="A31" s="56" t="s">
        <v>98</v>
      </c>
      <c r="B31" s="57"/>
      <c r="C31" s="107">
        <f>IF(AND(F31=0,I31=0),"",CONCATENATE("1.",D31,"."))</f>
      </c>
      <c r="D31" s="108">
        <f>IF(AND(F31=0,I31=0),0,MAX(D$8:D30)+1)</f>
        <v>0</v>
      </c>
      <c r="E31" s="108"/>
      <c r="F31" s="17"/>
      <c r="G31" s="18"/>
      <c r="H31" s="18"/>
      <c r="I31" s="17"/>
      <c r="J31" s="217"/>
      <c r="K31" s="217"/>
      <c r="L31" s="217"/>
      <c r="M31" s="217"/>
      <c r="N31" s="217"/>
      <c r="O31" s="217"/>
      <c r="P31" s="217"/>
      <c r="Q31" s="217"/>
      <c r="R31" s="217">
        <f>IF(AND(F31=0,I31=0),0,1)</f>
        <v>0</v>
      </c>
      <c r="S31" s="217"/>
    </row>
    <row r="32" spans="1:19" ht="9" customHeight="1">
      <c r="A32" s="60"/>
      <c r="B32" s="57"/>
      <c r="C32" s="61"/>
      <c r="D32" s="109"/>
      <c r="E32" s="109"/>
      <c r="F32" s="22"/>
      <c r="G32" s="18"/>
      <c r="H32" s="18"/>
      <c r="I32" s="22"/>
      <c r="J32" s="217"/>
      <c r="K32" s="217"/>
      <c r="L32" s="217"/>
      <c r="M32" s="217"/>
      <c r="N32" s="217"/>
      <c r="O32" s="217"/>
      <c r="P32" s="217"/>
      <c r="Q32" s="217"/>
      <c r="R32" s="217">
        <f>IF(R33=0,0,1)</f>
        <v>1</v>
      </c>
      <c r="S32" s="217"/>
    </row>
    <row r="33" spans="1:19" ht="15">
      <c r="A33" s="56" t="s">
        <v>215</v>
      </c>
      <c r="B33" s="57"/>
      <c r="C33" s="107" t="str">
        <f>IF(AND(F33=0,I33=0),"",CONCATENATE("1.",D33,"."))</f>
        <v>1.5.</v>
      </c>
      <c r="D33" s="108">
        <f>IF(AND(F33=0,I33=0),0,MAX(D$8:D32)+1)</f>
        <v>5</v>
      </c>
      <c r="E33" s="108"/>
      <c r="F33" s="17">
        <v>1763</v>
      </c>
      <c r="G33" s="18"/>
      <c r="H33" s="18"/>
      <c r="I33" s="17">
        <v>1762</v>
      </c>
      <c r="J33" s="217"/>
      <c r="K33" s="217"/>
      <c r="L33" s="217"/>
      <c r="M33" s="217"/>
      <c r="N33" s="217"/>
      <c r="O33" s="217"/>
      <c r="P33" s="217"/>
      <c r="Q33" s="217"/>
      <c r="R33" s="217">
        <f>IF(AND(F33=0,I33=0),0,1)</f>
        <v>1</v>
      </c>
      <c r="S33" s="217"/>
    </row>
    <row r="34" spans="1:19" ht="8.25" customHeight="1" hidden="1">
      <c r="A34" s="60"/>
      <c r="B34" s="57"/>
      <c r="C34" s="61"/>
      <c r="D34" s="109"/>
      <c r="E34" s="109"/>
      <c r="F34" s="22"/>
      <c r="G34" s="18"/>
      <c r="H34" s="18"/>
      <c r="I34" s="22"/>
      <c r="J34" s="217"/>
      <c r="K34" s="217"/>
      <c r="L34" s="217"/>
      <c r="M34" s="217"/>
      <c r="N34" s="217"/>
      <c r="O34" s="217"/>
      <c r="P34" s="217"/>
      <c r="Q34" s="217"/>
      <c r="R34" s="217">
        <f>IF(R35=0,0,1)</f>
        <v>0</v>
      </c>
      <c r="S34" s="217"/>
    </row>
    <row r="35" spans="1:19" ht="15" hidden="1">
      <c r="A35" s="56" t="s">
        <v>0</v>
      </c>
      <c r="B35" s="57"/>
      <c r="C35" s="107">
        <f>IF(AND(F35=0,I35=0),"",CONCATENATE("1.",D35,"."))</f>
      </c>
      <c r="D35" s="108">
        <f>IF(AND(F35=0,I35=0),0,MAX(D$8:D34)+1)</f>
        <v>0</v>
      </c>
      <c r="E35" s="108"/>
      <c r="F35" s="17"/>
      <c r="G35" s="18"/>
      <c r="H35" s="18"/>
      <c r="I35" s="17"/>
      <c r="J35" s="217"/>
      <c r="K35" s="217"/>
      <c r="L35" s="217"/>
      <c r="M35" s="217"/>
      <c r="N35" s="217"/>
      <c r="O35" s="217"/>
      <c r="P35" s="217"/>
      <c r="Q35" s="217"/>
      <c r="R35" s="217">
        <f>IF(AND(F35=0,I35=0),0,1)</f>
        <v>0</v>
      </c>
      <c r="S35" s="217"/>
    </row>
    <row r="36" spans="1:19" ht="6.75" customHeight="1">
      <c r="A36" s="60"/>
      <c r="B36" s="60"/>
      <c r="C36" s="61"/>
      <c r="D36" s="109"/>
      <c r="E36" s="109"/>
      <c r="F36" s="22"/>
      <c r="G36" s="18"/>
      <c r="H36" s="18"/>
      <c r="I36" s="22"/>
      <c r="J36" s="217"/>
      <c r="K36" s="217"/>
      <c r="L36" s="217"/>
      <c r="M36" s="217"/>
      <c r="N36" s="217"/>
      <c r="O36" s="217"/>
      <c r="P36" s="217"/>
      <c r="Q36" s="217"/>
      <c r="R36" s="217">
        <f>IF(R37=0,0,1)</f>
        <v>1</v>
      </c>
      <c r="S36" s="217"/>
    </row>
    <row r="37" spans="1:19" ht="15.75" customHeight="1">
      <c r="A37" s="56" t="s">
        <v>4</v>
      </c>
      <c r="B37" s="57"/>
      <c r="C37" s="107" t="str">
        <f>IF(AND(F37=0,I37=0),"",CONCATENATE("1.",D37,"."))</f>
        <v>1.6.</v>
      </c>
      <c r="D37" s="108">
        <f>IF(AND(F37=0,I37=0),0,MAX(D$8:D36)+1)</f>
        <v>6</v>
      </c>
      <c r="E37" s="108"/>
      <c r="F37" s="17">
        <v>13104</v>
      </c>
      <c r="G37" s="18"/>
      <c r="H37" s="18"/>
      <c r="I37" s="17">
        <v>13075</v>
      </c>
      <c r="J37" s="217"/>
      <c r="K37" s="217"/>
      <c r="L37" s="217"/>
      <c r="M37" s="217"/>
      <c r="N37" s="217"/>
      <c r="O37" s="217"/>
      <c r="P37" s="217"/>
      <c r="Q37" s="217"/>
      <c r="R37" s="217">
        <f>IF(AND(F37=0,I37=0),0,1)</f>
        <v>1</v>
      </c>
      <c r="S37" s="217"/>
    </row>
    <row r="38" spans="1:19" ht="9" customHeight="1">
      <c r="A38" s="60"/>
      <c r="B38" s="60"/>
      <c r="C38" s="61"/>
      <c r="D38" s="109"/>
      <c r="E38" s="109"/>
      <c r="F38" s="22"/>
      <c r="G38" s="18"/>
      <c r="H38" s="18"/>
      <c r="I38" s="22"/>
      <c r="J38" s="217"/>
      <c r="K38" s="217"/>
      <c r="L38" s="217"/>
      <c r="M38" s="217"/>
      <c r="N38" s="217"/>
      <c r="O38" s="217"/>
      <c r="P38" s="217"/>
      <c r="Q38" s="217"/>
      <c r="R38" s="217">
        <f>IF(R39=0,0,1)</f>
        <v>1</v>
      </c>
      <c r="S38" s="217"/>
    </row>
    <row r="39" spans="1:19" ht="15">
      <c r="A39" s="56" t="s">
        <v>106</v>
      </c>
      <c r="B39" s="57"/>
      <c r="C39" s="107" t="str">
        <f>IF(AND(F39=0,I39=0),"",CONCATENATE("1.",D39,"."))</f>
        <v>1.7.</v>
      </c>
      <c r="D39" s="108">
        <f>IF(AND(F39=0,I39=0),0,MAX(D$8:D38)+1)</f>
        <v>7</v>
      </c>
      <c r="E39" s="108"/>
      <c r="F39" s="17">
        <v>32</v>
      </c>
      <c r="G39" s="18"/>
      <c r="H39" s="18"/>
      <c r="I39" s="17">
        <v>52</v>
      </c>
      <c r="J39" s="217"/>
      <c r="K39" s="217"/>
      <c r="L39" s="217"/>
      <c r="M39" s="217"/>
      <c r="N39" s="217"/>
      <c r="O39" s="217"/>
      <c r="P39" s="217"/>
      <c r="Q39" s="217"/>
      <c r="R39" s="217">
        <f>IF(AND(F39=0,I39=0),0,1)</f>
        <v>1</v>
      </c>
      <c r="S39" s="217"/>
    </row>
    <row r="40" spans="1:19" ht="8.25" customHeight="1">
      <c r="A40" s="71"/>
      <c r="B40" s="71"/>
      <c r="C40" s="61"/>
      <c r="D40" s="109"/>
      <c r="E40" s="109"/>
      <c r="F40" s="65"/>
      <c r="G40" s="72"/>
      <c r="H40" s="72"/>
      <c r="I40" s="65"/>
      <c r="J40" s="217"/>
      <c r="K40" s="217"/>
      <c r="L40" s="217"/>
      <c r="M40" s="217"/>
      <c r="N40" s="217"/>
      <c r="O40" s="217"/>
      <c r="P40" s="217"/>
      <c r="Q40" s="217"/>
      <c r="R40" s="217">
        <f>IF(R41=0,0,1)</f>
        <v>1</v>
      </c>
      <c r="S40" s="217"/>
    </row>
    <row r="41" spans="1:19" ht="16.5" customHeight="1">
      <c r="A41" s="66" t="s">
        <v>211</v>
      </c>
      <c r="B41" s="67"/>
      <c r="C41" s="68"/>
      <c r="D41" s="109"/>
      <c r="E41" s="109"/>
      <c r="F41" s="69">
        <f>F29+F31+F33+F35+F37+F39</f>
        <v>14899</v>
      </c>
      <c r="G41" s="55"/>
      <c r="H41" s="55"/>
      <c r="I41" s="69">
        <f>I29+I31+I33+I35+I37+I39</f>
        <v>14889</v>
      </c>
      <c r="J41" s="217"/>
      <c r="K41" s="217"/>
      <c r="L41" s="217"/>
      <c r="M41" s="217"/>
      <c r="N41" s="217"/>
      <c r="O41" s="217"/>
      <c r="P41" s="217"/>
      <c r="Q41" s="217"/>
      <c r="R41" s="217">
        <f>IF(AND(F41=0,I41=0),0,1)</f>
        <v>1</v>
      </c>
      <c r="S41" s="217"/>
    </row>
    <row r="42" spans="1:19" ht="8.25" customHeight="1">
      <c r="A42" s="60"/>
      <c r="B42" s="60"/>
      <c r="C42" s="61"/>
      <c r="D42" s="109"/>
      <c r="E42" s="109"/>
      <c r="F42" s="64"/>
      <c r="G42" s="59"/>
      <c r="H42" s="59"/>
      <c r="I42" s="64"/>
      <c r="J42" s="217"/>
      <c r="K42" s="217"/>
      <c r="L42" s="217"/>
      <c r="M42" s="217"/>
      <c r="N42" s="217"/>
      <c r="O42" s="217"/>
      <c r="P42" s="217"/>
      <c r="Q42" s="217"/>
      <c r="R42" s="217">
        <v>2</v>
      </c>
      <c r="S42" s="217"/>
    </row>
    <row r="43" spans="1:19" ht="16.5" customHeight="1" thickBot="1">
      <c r="A43" s="73" t="s">
        <v>216</v>
      </c>
      <c r="B43" s="47"/>
      <c r="C43" s="74"/>
      <c r="D43" s="109"/>
      <c r="E43" s="109"/>
      <c r="F43" s="74">
        <f>F25+F41</f>
        <v>74694</v>
      </c>
      <c r="G43" s="70"/>
      <c r="H43" s="70"/>
      <c r="I43" s="74">
        <f>I25+I41</f>
        <v>74617</v>
      </c>
      <c r="J43" s="217"/>
      <c r="K43" s="217"/>
      <c r="L43" s="217"/>
      <c r="M43" s="217"/>
      <c r="N43" s="217"/>
      <c r="O43" s="217"/>
      <c r="P43" s="217"/>
      <c r="Q43" s="217"/>
      <c r="R43" s="217">
        <v>2</v>
      </c>
      <c r="S43" s="217"/>
    </row>
    <row r="44" spans="1:19" ht="15.75" thickTop="1">
      <c r="A44" s="60"/>
      <c r="B44" s="60"/>
      <c r="C44" s="61"/>
      <c r="D44" s="53"/>
      <c r="E44" s="53"/>
      <c r="F44" s="62"/>
      <c r="G44" s="63"/>
      <c r="H44" s="63"/>
      <c r="I44" s="62"/>
      <c r="J44" s="217"/>
      <c r="K44" s="217"/>
      <c r="L44" s="217"/>
      <c r="M44" s="217"/>
      <c r="N44" s="217"/>
      <c r="O44" s="217"/>
      <c r="P44" s="217"/>
      <c r="Q44" s="217"/>
      <c r="R44" s="217">
        <v>2</v>
      </c>
      <c r="S44" s="217"/>
    </row>
    <row r="45" spans="1:19" ht="15">
      <c r="A45" s="55"/>
      <c r="B45" s="55"/>
      <c r="C45" s="61"/>
      <c r="D45" s="53"/>
      <c r="E45" s="53"/>
      <c r="F45" s="54"/>
      <c r="G45" s="55"/>
      <c r="H45" s="55"/>
      <c r="I45" s="54"/>
      <c r="J45" s="217"/>
      <c r="K45" s="217"/>
      <c r="L45" s="217"/>
      <c r="M45" s="217"/>
      <c r="N45" s="217"/>
      <c r="O45" s="217"/>
      <c r="P45" s="217"/>
      <c r="Q45" s="217"/>
      <c r="R45" s="217">
        <v>2</v>
      </c>
      <c r="S45" s="217"/>
    </row>
    <row r="46" spans="1:19" ht="15">
      <c r="A46" s="55"/>
      <c r="B46" s="55"/>
      <c r="C46" s="61"/>
      <c r="D46" s="53"/>
      <c r="E46" s="53"/>
      <c r="F46" s="54"/>
      <c r="G46" s="55"/>
      <c r="H46" s="55"/>
      <c r="I46" s="54"/>
      <c r="J46" s="217"/>
      <c r="K46" s="217"/>
      <c r="L46" s="217"/>
      <c r="M46" s="217"/>
      <c r="N46" s="217"/>
      <c r="O46" s="217"/>
      <c r="P46" s="217"/>
      <c r="Q46" s="217"/>
      <c r="R46" s="217">
        <v>2</v>
      </c>
      <c r="S46" s="217"/>
    </row>
    <row r="47" spans="1:19" ht="18" customHeight="1">
      <c r="A47" s="306" t="str">
        <f>A1</f>
        <v>"Железопътна Инфраструктура - Холдингово Дружество" АД</v>
      </c>
      <c r="B47" s="306"/>
      <c r="C47" s="306"/>
      <c r="D47" s="306"/>
      <c r="E47" s="306"/>
      <c r="F47" s="306"/>
      <c r="G47" s="306"/>
      <c r="H47" s="306"/>
      <c r="I47" s="306"/>
      <c r="J47" s="217"/>
      <c r="K47" s="217"/>
      <c r="L47" s="217"/>
      <c r="M47" s="217"/>
      <c r="N47" s="217"/>
      <c r="O47" s="217"/>
      <c r="P47" s="217"/>
      <c r="Q47" s="217"/>
      <c r="R47" s="217">
        <v>2</v>
      </c>
      <c r="S47" s="217"/>
    </row>
    <row r="48" spans="1:19" ht="15">
      <c r="A48" s="311" t="str">
        <f>CONCATENATE(A2," - продължение")</f>
        <v>СЧЕТОВОДЕН БАЛАНС към 31.3.2009 година - продължение</v>
      </c>
      <c r="B48" s="311"/>
      <c r="C48" s="311"/>
      <c r="D48" s="311"/>
      <c r="E48" s="311"/>
      <c r="F48" s="311"/>
      <c r="G48" s="311"/>
      <c r="H48" s="311"/>
      <c r="I48" s="311"/>
      <c r="J48" s="217"/>
      <c r="K48" s="217"/>
      <c r="L48" s="217"/>
      <c r="M48" s="217"/>
      <c r="N48" s="217"/>
      <c r="O48" s="217"/>
      <c r="P48" s="217"/>
      <c r="Q48" s="217"/>
      <c r="R48" s="217">
        <v>2</v>
      </c>
      <c r="S48" s="217"/>
    </row>
    <row r="49" spans="1:19" ht="15">
      <c r="A49" s="60"/>
      <c r="B49" s="60"/>
      <c r="C49" s="61"/>
      <c r="D49" s="53"/>
      <c r="E49" s="53"/>
      <c r="F49" s="54"/>
      <c r="G49" s="55"/>
      <c r="H49" s="55"/>
      <c r="I49" s="54"/>
      <c r="J49" s="217"/>
      <c r="K49" s="217"/>
      <c r="L49" s="217"/>
      <c r="M49" s="217"/>
      <c r="N49" s="217"/>
      <c r="O49" s="217"/>
      <c r="P49" s="217"/>
      <c r="Q49" s="217"/>
      <c r="R49" s="217">
        <v>2</v>
      </c>
      <c r="S49" s="217"/>
    </row>
    <row r="50" spans="1:19" ht="15">
      <c r="A50" s="43"/>
      <c r="B50" s="43"/>
      <c r="C50" s="44" t="s">
        <v>82</v>
      </c>
      <c r="D50" s="40"/>
      <c r="E50" s="40"/>
      <c r="F50" s="45">
        <f>F4</f>
        <v>39903</v>
      </c>
      <c r="G50" s="46"/>
      <c r="H50" s="46"/>
      <c r="I50" s="45" t="str">
        <f>I4</f>
        <v>31.12.2008 г.</v>
      </c>
      <c r="J50" s="217"/>
      <c r="K50" s="217"/>
      <c r="L50" s="217"/>
      <c r="M50" s="217"/>
      <c r="N50" s="217"/>
      <c r="O50" s="217"/>
      <c r="P50" s="217"/>
      <c r="Q50" s="217"/>
      <c r="R50" s="217">
        <v>2</v>
      </c>
      <c r="S50" s="217"/>
    </row>
    <row r="51" spans="1:19" ht="15">
      <c r="A51" s="47" t="s">
        <v>73</v>
      </c>
      <c r="B51" s="47"/>
      <c r="C51" s="41"/>
      <c r="D51" s="40"/>
      <c r="E51" s="40"/>
      <c r="F51" s="48" t="s">
        <v>94</v>
      </c>
      <c r="G51" s="49"/>
      <c r="H51" s="49"/>
      <c r="I51" s="48" t="s">
        <v>94</v>
      </c>
      <c r="J51" s="217"/>
      <c r="K51" s="217"/>
      <c r="L51" s="217"/>
      <c r="M51" s="217"/>
      <c r="N51" s="217"/>
      <c r="O51" s="217"/>
      <c r="P51" s="217"/>
      <c r="Q51" s="217"/>
      <c r="R51" s="217">
        <v>2</v>
      </c>
      <c r="S51" s="217"/>
    </row>
    <row r="52" spans="1:19" ht="9" customHeight="1">
      <c r="A52" s="50"/>
      <c r="B52" s="50"/>
      <c r="C52" s="41"/>
      <c r="D52" s="40"/>
      <c r="E52" s="40"/>
      <c r="F52" s="48"/>
      <c r="G52" s="49"/>
      <c r="H52" s="49"/>
      <c r="I52" s="48"/>
      <c r="J52" s="217"/>
      <c r="K52" s="217"/>
      <c r="L52" s="217"/>
      <c r="M52" s="217"/>
      <c r="N52" s="217"/>
      <c r="O52" s="217"/>
      <c r="P52" s="217"/>
      <c r="Q52" s="217"/>
      <c r="R52" s="217">
        <f>IF(R53=0,0,1)</f>
        <v>1</v>
      </c>
      <c r="S52" s="217"/>
    </row>
    <row r="53" spans="1:19" ht="15" customHeight="1">
      <c r="A53" s="47" t="s">
        <v>99</v>
      </c>
      <c r="B53" s="75"/>
      <c r="C53" s="70" t="s">
        <v>108</v>
      </c>
      <c r="D53" s="76"/>
      <c r="E53" s="76"/>
      <c r="F53" s="70"/>
      <c r="G53" s="77"/>
      <c r="H53" s="77"/>
      <c r="I53" s="70"/>
      <c r="J53" s="217"/>
      <c r="K53" s="217"/>
      <c r="L53" s="217"/>
      <c r="M53" s="217"/>
      <c r="N53" s="217"/>
      <c r="O53" s="217"/>
      <c r="P53" s="217"/>
      <c r="Q53" s="217"/>
      <c r="R53" s="217">
        <f>IF(R72=0,0,1)</f>
        <v>1</v>
      </c>
      <c r="S53" s="217"/>
    </row>
    <row r="54" spans="1:19" ht="6.75" customHeight="1">
      <c r="A54" s="47"/>
      <c r="B54" s="47"/>
      <c r="C54" s="52"/>
      <c r="D54" s="53"/>
      <c r="E54" s="53"/>
      <c r="F54" s="54"/>
      <c r="G54" s="55"/>
      <c r="H54" s="55"/>
      <c r="I54" s="54"/>
      <c r="J54" s="217"/>
      <c r="K54" s="217"/>
      <c r="L54" s="217"/>
      <c r="M54" s="217"/>
      <c r="N54" s="217"/>
      <c r="O54" s="217"/>
      <c r="P54" s="217"/>
      <c r="Q54" s="217"/>
      <c r="R54" s="217">
        <f>IF(R55=0,0,1)</f>
        <v>1</v>
      </c>
      <c r="S54" s="217"/>
    </row>
    <row r="55" spans="1:19" ht="15">
      <c r="A55" s="78" t="s">
        <v>100</v>
      </c>
      <c r="B55" s="47"/>
      <c r="C55" s="107" t="str">
        <f>IF(AND(F55=0,I55=0),"",CONCATENATE("1.",D55,".",G55,"."))</f>
        <v>1.8.1.</v>
      </c>
      <c r="D55" s="108">
        <f>IF(AND(F55=0,I55=0),0,MAX(D$8:D54)+1)</f>
        <v>8</v>
      </c>
      <c r="E55" s="108"/>
      <c r="F55" s="79">
        <f>SUM(F56:F58)</f>
        <v>58363</v>
      </c>
      <c r="G55" s="108">
        <f>IF(AND(F55=0,I55=0),0,MAX(G$54:G54)+1)</f>
        <v>1</v>
      </c>
      <c r="H55" s="108"/>
      <c r="I55" s="79">
        <f>SUM(I56:I58)</f>
        <v>58363</v>
      </c>
      <c r="J55" s="217"/>
      <c r="K55" s="217"/>
      <c r="L55" s="217"/>
      <c r="M55" s="217"/>
      <c r="N55" s="217"/>
      <c r="O55" s="217"/>
      <c r="P55" s="217"/>
      <c r="Q55" s="217"/>
      <c r="R55" s="217">
        <f>IF(AND(F55=0,I55=0),0,1)</f>
        <v>1</v>
      </c>
      <c r="S55" s="217"/>
    </row>
    <row r="56" spans="1:19" ht="15">
      <c r="A56" s="80" t="s">
        <v>144</v>
      </c>
      <c r="B56" s="47"/>
      <c r="C56" s="81"/>
      <c r="D56" s="109"/>
      <c r="E56" s="109"/>
      <c r="F56" s="24">
        <v>58363</v>
      </c>
      <c r="G56" s="111"/>
      <c r="H56" s="111"/>
      <c r="I56" s="24">
        <v>58363</v>
      </c>
      <c r="J56" s="217"/>
      <c r="K56" s="217"/>
      <c r="L56" s="217"/>
      <c r="M56" s="217"/>
      <c r="N56" s="217"/>
      <c r="O56" s="217"/>
      <c r="P56" s="217"/>
      <c r="Q56" s="217"/>
      <c r="R56" s="217">
        <f>IF(AND(F56=0,I56=0),0,1)</f>
        <v>1</v>
      </c>
      <c r="S56" s="217"/>
    </row>
    <row r="57" spans="1:19" ht="15" hidden="1">
      <c r="A57" s="60" t="s">
        <v>145</v>
      </c>
      <c r="B57" s="47"/>
      <c r="C57" s="81"/>
      <c r="D57" s="109"/>
      <c r="E57" s="109"/>
      <c r="F57" s="24"/>
      <c r="G57" s="111"/>
      <c r="H57" s="111"/>
      <c r="I57" s="24"/>
      <c r="J57" s="217"/>
      <c r="K57" s="217"/>
      <c r="L57" s="217"/>
      <c r="M57" s="217"/>
      <c r="N57" s="217"/>
      <c r="O57" s="217"/>
      <c r="P57" s="217"/>
      <c r="Q57" s="217"/>
      <c r="R57" s="217">
        <f>IF(AND(F57=0,I57=0),0,1)</f>
        <v>0</v>
      </c>
      <c r="S57" s="217"/>
    </row>
    <row r="58" spans="1:19" ht="15" hidden="1">
      <c r="A58" s="60" t="s">
        <v>146</v>
      </c>
      <c r="B58" s="47"/>
      <c r="C58" s="81"/>
      <c r="D58" s="109"/>
      <c r="E58" s="109"/>
      <c r="F58" s="24"/>
      <c r="G58" s="111"/>
      <c r="H58" s="111"/>
      <c r="I58" s="24"/>
      <c r="J58" s="217"/>
      <c r="K58" s="217"/>
      <c r="L58" s="217"/>
      <c r="M58" s="217"/>
      <c r="N58" s="217"/>
      <c r="O58" s="217"/>
      <c r="P58" s="217"/>
      <c r="Q58" s="217"/>
      <c r="R58" s="217">
        <f>IF(AND(F58=0,I58=0),0,1)</f>
        <v>0</v>
      </c>
      <c r="S58" s="217"/>
    </row>
    <row r="59" spans="1:19" ht="8.25" customHeight="1">
      <c r="A59" s="47"/>
      <c r="B59" s="47"/>
      <c r="C59" s="61"/>
      <c r="D59" s="109"/>
      <c r="E59" s="109"/>
      <c r="F59" s="82"/>
      <c r="G59" s="108"/>
      <c r="H59" s="108"/>
      <c r="I59" s="82"/>
      <c r="J59" s="217"/>
      <c r="K59" s="217"/>
      <c r="L59" s="217"/>
      <c r="M59" s="217"/>
      <c r="N59" s="217"/>
      <c r="O59" s="217"/>
      <c r="P59" s="217"/>
      <c r="Q59" s="217"/>
      <c r="R59" s="217">
        <f>IF(R60=0,0,1)</f>
        <v>1</v>
      </c>
      <c r="S59" s="217"/>
    </row>
    <row r="60" spans="1:19" ht="15" customHeight="1">
      <c r="A60" s="78" t="s">
        <v>7</v>
      </c>
      <c r="B60" s="47"/>
      <c r="C60" s="107" t="str">
        <f>IF(AND(F60=0,I60=0),"",CONCATENATE("1.",D60,".",G60,"."))</f>
        <v>1.8.2.</v>
      </c>
      <c r="D60" s="108">
        <f>IF(AND(F60=0,I60=0),0,MAX(D$8:D54)+1)</f>
        <v>8</v>
      </c>
      <c r="E60" s="108"/>
      <c r="F60" s="26">
        <v>10072</v>
      </c>
      <c r="G60" s="108">
        <f>IF(AND(F60=0,I60=0),0,MAX(G$54:G59)+1)</f>
        <v>2</v>
      </c>
      <c r="H60" s="108"/>
      <c r="I60" s="26">
        <v>10072</v>
      </c>
      <c r="J60" s="217"/>
      <c r="K60" s="217"/>
      <c r="L60" s="217"/>
      <c r="M60" s="217"/>
      <c r="N60" s="217"/>
      <c r="O60" s="217"/>
      <c r="P60" s="217"/>
      <c r="Q60" s="217"/>
      <c r="R60" s="217">
        <f>IF(AND(F60=0,I60=0),0,1)</f>
        <v>1</v>
      </c>
      <c r="S60" s="217"/>
    </row>
    <row r="61" spans="1:19" ht="9" customHeight="1" hidden="1">
      <c r="A61" s="47"/>
      <c r="B61" s="47"/>
      <c r="C61" s="61"/>
      <c r="D61" s="109"/>
      <c r="E61" s="109"/>
      <c r="F61" s="82"/>
      <c r="G61" s="108"/>
      <c r="H61" s="108"/>
      <c r="I61" s="82"/>
      <c r="J61" s="217"/>
      <c r="K61" s="217"/>
      <c r="L61" s="217"/>
      <c r="M61" s="217"/>
      <c r="N61" s="217"/>
      <c r="O61" s="217"/>
      <c r="P61" s="217"/>
      <c r="Q61" s="217"/>
      <c r="R61" s="217">
        <f>IF(R62=0,0,1)</f>
        <v>0</v>
      </c>
      <c r="S61" s="217"/>
    </row>
    <row r="62" spans="1:19" ht="15" hidden="1">
      <c r="A62" s="78" t="s">
        <v>103</v>
      </c>
      <c r="B62" s="47"/>
      <c r="C62" s="107">
        <f>IF(AND(F62=0,I62=0),"",CONCATENATE("1.",D62,".",G62,"."))</f>
      </c>
      <c r="D62" s="108">
        <f>IF(AND(F62=0,I62=0),0,MAX(D$8:D54)+1)</f>
        <v>0</v>
      </c>
      <c r="E62" s="108"/>
      <c r="F62" s="27"/>
      <c r="G62" s="108">
        <f>IF(AND(F62=0,I62=0),0,MAX(G$54:G61)+1)</f>
        <v>0</v>
      </c>
      <c r="H62" s="108"/>
      <c r="I62" s="27"/>
      <c r="J62" s="217"/>
      <c r="K62" s="217"/>
      <c r="L62" s="217"/>
      <c r="M62" s="217"/>
      <c r="N62" s="217"/>
      <c r="O62" s="217"/>
      <c r="P62" s="217"/>
      <c r="Q62" s="217"/>
      <c r="R62" s="217">
        <f>IF(AND(F62=0,I62=0),0,1)</f>
        <v>0</v>
      </c>
      <c r="S62" s="217"/>
    </row>
    <row r="63" spans="1:19" ht="8.25" customHeight="1">
      <c r="A63" s="60"/>
      <c r="B63" s="60"/>
      <c r="C63" s="61"/>
      <c r="D63" s="109"/>
      <c r="E63" s="109"/>
      <c r="F63" s="82"/>
      <c r="G63" s="108"/>
      <c r="H63" s="108"/>
      <c r="I63" s="82"/>
      <c r="J63" s="217"/>
      <c r="K63" s="217"/>
      <c r="L63" s="217"/>
      <c r="M63" s="217"/>
      <c r="N63" s="217"/>
      <c r="O63" s="217"/>
      <c r="P63" s="217"/>
      <c r="Q63" s="217"/>
      <c r="R63" s="217">
        <f>IF(R64=0,0,1)</f>
        <v>1</v>
      </c>
      <c r="S63" s="217"/>
    </row>
    <row r="64" spans="1:19" ht="15">
      <c r="A64" s="78" t="s">
        <v>104</v>
      </c>
      <c r="B64" s="47"/>
      <c r="C64" s="107" t="str">
        <f>IF(AND(F64=0,I64=0),"",CONCATENATE("1.",D64,".",G64,"."))</f>
        <v>1.8.3.</v>
      </c>
      <c r="D64" s="108">
        <f>IF(AND(F64=0,I64=0),0,MAX(D$8:D54)+1)</f>
        <v>8</v>
      </c>
      <c r="E64" s="108"/>
      <c r="F64" s="79">
        <f>SUM(F65:F66)</f>
        <v>-3526</v>
      </c>
      <c r="G64" s="108">
        <f>IF(AND(F64=0,I64=0),0,MAX(G$54:G63)+1)</f>
        <v>3</v>
      </c>
      <c r="H64" s="108"/>
      <c r="I64" s="79">
        <f>SUM(I65:I66)</f>
        <v>-3497</v>
      </c>
      <c r="J64" s="217"/>
      <c r="K64" s="217"/>
      <c r="L64" s="217"/>
      <c r="M64" s="217"/>
      <c r="N64" s="217"/>
      <c r="O64" s="217"/>
      <c r="P64" s="217"/>
      <c r="Q64" s="217"/>
      <c r="R64" s="217">
        <f>IF(AND(F64=0,I64=0,R65=0,R66=0),0,1)</f>
        <v>1</v>
      </c>
      <c r="S64" s="217"/>
    </row>
    <row r="65" spans="1:19" ht="15">
      <c r="A65" s="83" t="s">
        <v>167</v>
      </c>
      <c r="B65" s="83"/>
      <c r="C65" s="61"/>
      <c r="D65" s="109"/>
      <c r="E65" s="109"/>
      <c r="F65" s="25">
        <v>-3497</v>
      </c>
      <c r="G65" s="28"/>
      <c r="H65" s="28"/>
      <c r="I65" s="25">
        <v>-2656</v>
      </c>
      <c r="J65" s="217"/>
      <c r="K65" s="217"/>
      <c r="L65" s="217"/>
      <c r="M65" s="217"/>
      <c r="N65" s="217"/>
      <c r="O65" s="217"/>
      <c r="P65" s="217"/>
      <c r="Q65" s="217"/>
      <c r="R65" s="217">
        <f>IF(AND(F65=0,I65=0),0,1)</f>
        <v>1</v>
      </c>
      <c r="S65" s="217"/>
    </row>
    <row r="66" spans="1:19" ht="15">
      <c r="A66" s="60" t="s">
        <v>143</v>
      </c>
      <c r="B66" s="60"/>
      <c r="C66" s="61"/>
      <c r="D66" s="109"/>
      <c r="E66" s="109"/>
      <c r="F66" s="24">
        <v>-29</v>
      </c>
      <c r="G66" s="24"/>
      <c r="H66" s="24"/>
      <c r="I66" s="24">
        <v>-841</v>
      </c>
      <c r="J66" s="217"/>
      <c r="K66" s="217"/>
      <c r="L66" s="217"/>
      <c r="M66" s="217"/>
      <c r="N66" s="217"/>
      <c r="O66" s="217"/>
      <c r="P66" s="217"/>
      <c r="Q66" s="217"/>
      <c r="R66" s="217">
        <f>IF(AND(F66=0,I66=0),0,1)</f>
        <v>1</v>
      </c>
      <c r="S66" s="217"/>
    </row>
    <row r="67" spans="1:19" ht="8.25" customHeight="1" hidden="1">
      <c r="A67" s="60"/>
      <c r="B67" s="60"/>
      <c r="C67" s="61"/>
      <c r="D67" s="109"/>
      <c r="E67" s="109"/>
      <c r="F67" s="77"/>
      <c r="G67" s="77"/>
      <c r="H67" s="77"/>
      <c r="I67" s="77"/>
      <c r="J67" s="217"/>
      <c r="K67" s="217"/>
      <c r="L67" s="217"/>
      <c r="M67" s="217"/>
      <c r="N67" s="217"/>
      <c r="O67" s="217"/>
      <c r="P67" s="217"/>
      <c r="Q67" s="217"/>
      <c r="R67" s="217">
        <f>IF(R68=0,0,R68)</f>
        <v>4</v>
      </c>
      <c r="S67" s="217"/>
    </row>
    <row r="68" spans="1:19" ht="16.5" customHeight="1" hidden="1">
      <c r="A68" s="167" t="s">
        <v>10</v>
      </c>
      <c r="B68" s="47"/>
      <c r="C68" s="84" t="s">
        <v>108</v>
      </c>
      <c r="D68" s="109"/>
      <c r="E68" s="109"/>
      <c r="F68" s="84">
        <f>F55+F60+F62+F64</f>
        <v>64909</v>
      </c>
      <c r="G68" s="77"/>
      <c r="H68" s="77"/>
      <c r="I68" s="84">
        <f>I55+I60+I62+I64</f>
        <v>64938</v>
      </c>
      <c r="J68" s="217"/>
      <c r="K68" s="217"/>
      <c r="L68" s="217"/>
      <c r="M68" s="217"/>
      <c r="N68" s="217"/>
      <c r="O68" s="217"/>
      <c r="P68" s="217"/>
      <c r="Q68" s="217"/>
      <c r="R68" s="217">
        <f>IF(НАЧАЛО!O34="КК",IF(AND(F68=0,I68=0),0,1),4)</f>
        <v>4</v>
      </c>
      <c r="S68" s="217"/>
    </row>
    <row r="69" spans="1:19" ht="8.25" customHeight="1" hidden="1">
      <c r="A69" s="60"/>
      <c r="B69" s="60"/>
      <c r="C69" s="61"/>
      <c r="D69" s="109"/>
      <c r="E69" s="109"/>
      <c r="F69" s="77"/>
      <c r="G69" s="77"/>
      <c r="H69" s="77"/>
      <c r="I69" s="77"/>
      <c r="J69" s="217"/>
      <c r="K69" s="217"/>
      <c r="L69" s="217"/>
      <c r="M69" s="217"/>
      <c r="N69" s="217"/>
      <c r="O69" s="217"/>
      <c r="P69" s="217"/>
      <c r="Q69" s="217"/>
      <c r="R69" s="217">
        <f>IF(R70=0,0,R70)</f>
        <v>4</v>
      </c>
      <c r="S69" s="217"/>
    </row>
    <row r="70" spans="1:19" ht="16.5" customHeight="1" hidden="1">
      <c r="A70" s="167" t="s">
        <v>15</v>
      </c>
      <c r="B70" s="47"/>
      <c r="C70" s="84"/>
      <c r="D70" s="109"/>
      <c r="E70" s="109"/>
      <c r="F70" s="339"/>
      <c r="G70" s="340"/>
      <c r="H70" s="340"/>
      <c r="I70" s="339"/>
      <c r="J70" s="217"/>
      <c r="K70" s="217"/>
      <c r="L70" s="217"/>
      <c r="M70" s="217"/>
      <c r="N70" s="217"/>
      <c r="O70" s="217"/>
      <c r="P70" s="217"/>
      <c r="Q70" s="217"/>
      <c r="R70" s="217">
        <f>IF(НАЧАЛО!O34="КК",IF(AND(F70=0,I70=0),0,1),4)</f>
        <v>4</v>
      </c>
      <c r="S70" s="217"/>
    </row>
    <row r="71" spans="1:19" ht="8.25" customHeight="1">
      <c r="A71" s="60"/>
      <c r="B71" s="60"/>
      <c r="C71" s="61"/>
      <c r="D71" s="109"/>
      <c r="E71" s="109"/>
      <c r="F71" s="77"/>
      <c r="G71" s="77"/>
      <c r="H71" s="77"/>
      <c r="I71" s="77"/>
      <c r="J71" s="217"/>
      <c r="K71" s="217"/>
      <c r="L71" s="217"/>
      <c r="M71" s="217"/>
      <c r="N71" s="217"/>
      <c r="O71" s="217"/>
      <c r="P71" s="217"/>
      <c r="Q71" s="217"/>
      <c r="R71" s="217">
        <f>IF(R72=0,0,R72)</f>
        <v>1</v>
      </c>
      <c r="S71" s="217"/>
    </row>
    <row r="72" spans="1:19" ht="16.5" customHeight="1">
      <c r="A72" s="167" t="s">
        <v>102</v>
      </c>
      <c r="B72" s="47"/>
      <c r="C72" s="84"/>
      <c r="D72" s="109"/>
      <c r="E72" s="109"/>
      <c r="F72" s="84">
        <f>F68+F70</f>
        <v>64909</v>
      </c>
      <c r="G72" s="77"/>
      <c r="H72" s="77"/>
      <c r="I72" s="84">
        <f>I68+I70</f>
        <v>64938</v>
      </c>
      <c r="J72" s="217"/>
      <c r="K72" s="217"/>
      <c r="L72" s="217"/>
      <c r="M72" s="217"/>
      <c r="N72" s="217"/>
      <c r="O72" s="217"/>
      <c r="P72" s="217"/>
      <c r="Q72" s="217"/>
      <c r="R72" s="217">
        <f>IF(AND(F72=0,I72=0),0,1)</f>
        <v>1</v>
      </c>
      <c r="S72" s="217"/>
    </row>
    <row r="73" spans="1:19" ht="9" customHeight="1">
      <c r="A73" s="60"/>
      <c r="B73" s="60"/>
      <c r="C73" s="61"/>
      <c r="D73" s="109"/>
      <c r="E73" s="109"/>
      <c r="F73" s="77"/>
      <c r="G73" s="77"/>
      <c r="H73" s="77"/>
      <c r="I73" s="77"/>
      <c r="J73" s="217"/>
      <c r="K73" s="217"/>
      <c r="L73" s="217"/>
      <c r="M73" s="217"/>
      <c r="N73" s="217"/>
      <c r="O73" s="217"/>
      <c r="P73" s="217"/>
      <c r="Q73" s="217"/>
      <c r="R73" s="217">
        <f>IF(R74=0,0,1)</f>
        <v>1</v>
      </c>
      <c r="S73" s="217"/>
    </row>
    <row r="74" spans="1:19" ht="15" customHeight="1">
      <c r="A74" s="47" t="s">
        <v>123</v>
      </c>
      <c r="B74" s="47"/>
      <c r="C74" s="70"/>
      <c r="D74" s="109"/>
      <c r="E74" s="109"/>
      <c r="F74" s="70"/>
      <c r="G74" s="77"/>
      <c r="H74" s="77"/>
      <c r="I74" s="70"/>
      <c r="J74" s="217"/>
      <c r="K74" s="217"/>
      <c r="L74" s="217"/>
      <c r="M74" s="217"/>
      <c r="N74" s="217"/>
      <c r="O74" s="217"/>
      <c r="P74" s="217"/>
      <c r="Q74" s="217"/>
      <c r="R74" s="217">
        <f>IF(R86=0,0,1)</f>
        <v>1</v>
      </c>
      <c r="S74" s="217"/>
    </row>
    <row r="75" spans="1:19" ht="6.75" customHeight="1">
      <c r="A75" s="47"/>
      <c r="B75" s="47"/>
      <c r="C75" s="52"/>
      <c r="D75" s="53"/>
      <c r="E75" s="53"/>
      <c r="F75" s="54"/>
      <c r="G75" s="55"/>
      <c r="H75" s="55"/>
      <c r="I75" s="54"/>
      <c r="J75" s="217"/>
      <c r="K75" s="217"/>
      <c r="L75" s="217"/>
      <c r="M75" s="217"/>
      <c r="N75" s="217"/>
      <c r="O75" s="217"/>
      <c r="P75" s="217"/>
      <c r="Q75" s="217"/>
      <c r="R75" s="217">
        <f>IF(R76=0,0,1)</f>
        <v>1</v>
      </c>
      <c r="S75" s="217"/>
    </row>
    <row r="76" spans="1:19" ht="15">
      <c r="A76" s="56" t="s">
        <v>147</v>
      </c>
      <c r="B76" s="60"/>
      <c r="C76" s="107" t="str">
        <f>IF(AND(F76=0,I76=0),"",CONCATENATE("1.",D76,"."))</f>
        <v>1.9.</v>
      </c>
      <c r="D76" s="108">
        <f>IF(AND(F76=0,I76=0),0,MAX(D$8:D75)+1)</f>
        <v>9</v>
      </c>
      <c r="E76" s="108"/>
      <c r="F76" s="29">
        <v>38</v>
      </c>
      <c r="G76" s="24"/>
      <c r="H76" s="24"/>
      <c r="I76" s="29"/>
      <c r="J76" s="217"/>
      <c r="K76" s="217"/>
      <c r="L76" s="217"/>
      <c r="M76" s="217"/>
      <c r="N76" s="217"/>
      <c r="O76" s="217"/>
      <c r="P76" s="217"/>
      <c r="Q76" s="217"/>
      <c r="R76" s="217">
        <f>IF(AND(F76=0,I76=0),0,1)</f>
        <v>1</v>
      </c>
      <c r="S76" s="217"/>
    </row>
    <row r="77" spans="1:19" ht="9" customHeight="1" hidden="1">
      <c r="A77" s="60"/>
      <c r="B77" s="60"/>
      <c r="C77" s="85"/>
      <c r="D77" s="109"/>
      <c r="E77" s="109"/>
      <c r="F77" s="24"/>
      <c r="G77" s="24"/>
      <c r="H77" s="24"/>
      <c r="I77" s="24"/>
      <c r="J77" s="217"/>
      <c r="K77" s="217"/>
      <c r="L77" s="217"/>
      <c r="M77" s="217"/>
      <c r="N77" s="217"/>
      <c r="O77" s="217"/>
      <c r="P77" s="217"/>
      <c r="Q77" s="217"/>
      <c r="R77" s="217">
        <f>IF(R78=0,0,1)</f>
        <v>0</v>
      </c>
      <c r="S77" s="217"/>
    </row>
    <row r="78" spans="1:19" ht="15" hidden="1">
      <c r="A78" s="56" t="s">
        <v>2</v>
      </c>
      <c r="B78" s="60"/>
      <c r="C78" s="107">
        <f>IF(AND(F78=0,I78=0),"",CONCATENATE("1.",D78,"."))</f>
      </c>
      <c r="D78" s="108">
        <f>IF(AND(F78=0,I78=0),0,MAX(D$8:D77)+1)</f>
        <v>0</v>
      </c>
      <c r="E78" s="108"/>
      <c r="F78" s="29"/>
      <c r="G78" s="24"/>
      <c r="H78" s="24"/>
      <c r="I78" s="29"/>
      <c r="J78" s="217"/>
      <c r="K78" s="217"/>
      <c r="L78" s="217"/>
      <c r="M78" s="217"/>
      <c r="N78" s="217"/>
      <c r="O78" s="217"/>
      <c r="P78" s="217"/>
      <c r="Q78" s="217"/>
      <c r="R78" s="217">
        <f>IF(AND(F78=0,I78=0),0,1)</f>
        <v>0</v>
      </c>
      <c r="S78" s="217"/>
    </row>
    <row r="79" spans="1:19" ht="8.25" customHeight="1" hidden="1">
      <c r="A79" s="60"/>
      <c r="B79" s="60"/>
      <c r="C79" s="85"/>
      <c r="D79" s="109"/>
      <c r="E79" s="109"/>
      <c r="F79" s="24"/>
      <c r="G79" s="24"/>
      <c r="H79" s="24"/>
      <c r="I79" s="24"/>
      <c r="J79" s="217"/>
      <c r="K79" s="217"/>
      <c r="L79" s="217"/>
      <c r="M79" s="217"/>
      <c r="N79" s="217"/>
      <c r="O79" s="217"/>
      <c r="P79" s="217"/>
      <c r="Q79" s="217"/>
      <c r="R79" s="217">
        <f>IF(R80=0,0,1)</f>
        <v>0</v>
      </c>
      <c r="S79" s="217"/>
    </row>
    <row r="80" spans="1:19" ht="15" hidden="1">
      <c r="A80" s="56" t="s">
        <v>71</v>
      </c>
      <c r="B80" s="60"/>
      <c r="C80" s="107">
        <f>IF(AND(F80=0,I80=0),"",CONCATENATE("1.",D80,"."))</f>
      </c>
      <c r="D80" s="108">
        <f>IF(AND(F80=0,I80=0),0,MAX(D$8:D79)+1)</f>
        <v>0</v>
      </c>
      <c r="E80" s="108"/>
      <c r="F80" s="29"/>
      <c r="G80" s="24"/>
      <c r="H80" s="24"/>
      <c r="I80" s="29"/>
      <c r="J80" s="217"/>
      <c r="K80" s="217"/>
      <c r="L80" s="217"/>
      <c r="M80" s="217"/>
      <c r="N80" s="217"/>
      <c r="O80" s="217"/>
      <c r="P80" s="217"/>
      <c r="Q80" s="217"/>
      <c r="R80" s="217">
        <f>IF(AND(F80=0,I80=0),0,1)</f>
        <v>0</v>
      </c>
      <c r="S80" s="217"/>
    </row>
    <row r="81" spans="1:19" ht="8.25" customHeight="1" hidden="1">
      <c r="A81" s="60"/>
      <c r="B81" s="60"/>
      <c r="C81" s="85"/>
      <c r="D81" s="109"/>
      <c r="E81" s="109"/>
      <c r="F81" s="24"/>
      <c r="G81" s="24"/>
      <c r="H81" s="24"/>
      <c r="I81" s="24"/>
      <c r="J81" s="217"/>
      <c r="K81" s="217"/>
      <c r="L81" s="217"/>
      <c r="M81" s="217"/>
      <c r="N81" s="217"/>
      <c r="O81" s="217"/>
      <c r="P81" s="217"/>
      <c r="Q81" s="217"/>
      <c r="R81" s="217">
        <f>IF(R82=0,0,1)</f>
        <v>0</v>
      </c>
      <c r="S81" s="217"/>
    </row>
    <row r="82" spans="1:19" ht="15" hidden="1">
      <c r="A82" s="56" t="s">
        <v>206</v>
      </c>
      <c r="B82" s="60"/>
      <c r="C82" s="107">
        <f>IF(AND(F82=0,I82=0),"",CONCATENATE("1.",D82,"."))</f>
      </c>
      <c r="D82" s="108">
        <f>IF(AND(F82=0,I82=0),0,MAX(D$8:D81)+1)</f>
        <v>0</v>
      </c>
      <c r="E82" s="108"/>
      <c r="F82" s="29"/>
      <c r="G82" s="24"/>
      <c r="H82" s="24"/>
      <c r="I82" s="29"/>
      <c r="J82" s="217"/>
      <c r="K82" s="217"/>
      <c r="L82" s="217"/>
      <c r="M82" s="217"/>
      <c r="N82" s="217"/>
      <c r="O82" s="217"/>
      <c r="P82" s="217"/>
      <c r="Q82" s="217"/>
      <c r="R82" s="217">
        <f>IF(AND(F82=0,I82=0),0,1)</f>
        <v>0</v>
      </c>
      <c r="S82" s="217"/>
    </row>
    <row r="83" spans="1:19" ht="7.5" customHeight="1" hidden="1">
      <c r="A83" s="60"/>
      <c r="B83" s="60"/>
      <c r="C83" s="61"/>
      <c r="D83" s="109"/>
      <c r="E83" s="109"/>
      <c r="F83" s="25"/>
      <c r="G83" s="30"/>
      <c r="H83" s="30"/>
      <c r="I83" s="25"/>
      <c r="J83" s="217"/>
      <c r="K83" s="217"/>
      <c r="L83" s="217"/>
      <c r="M83" s="217"/>
      <c r="N83" s="217"/>
      <c r="O83" s="217"/>
      <c r="P83" s="217"/>
      <c r="Q83" s="217"/>
      <c r="R83" s="217">
        <f>IF(R84=0,0,1)</f>
        <v>0</v>
      </c>
      <c r="S83" s="217"/>
    </row>
    <row r="84" spans="1:19" ht="15" customHeight="1" hidden="1">
      <c r="A84" s="56" t="s">
        <v>69</v>
      </c>
      <c r="B84" s="60"/>
      <c r="C84" s="107">
        <f>IF(AND(F84=0,I84=0),"",CONCATENATE("1.",D84,"."))</f>
      </c>
      <c r="D84" s="108">
        <f>IF(AND(F84=0,I84=0),0,MAX(D$8:D83)+1)</f>
        <v>0</v>
      </c>
      <c r="E84" s="108"/>
      <c r="F84" s="29"/>
      <c r="G84" s="24"/>
      <c r="H84" s="24"/>
      <c r="I84" s="29"/>
      <c r="J84" s="217"/>
      <c r="K84" s="217"/>
      <c r="L84" s="217"/>
      <c r="M84" s="217"/>
      <c r="N84" s="217"/>
      <c r="O84" s="217"/>
      <c r="P84" s="217"/>
      <c r="Q84" s="217"/>
      <c r="R84" s="217">
        <f>IF(AND(F84=0,I84=0),0,1)</f>
        <v>0</v>
      </c>
      <c r="S84" s="217"/>
    </row>
    <row r="85" spans="1:19" ht="8.25" customHeight="1">
      <c r="A85" s="47"/>
      <c r="B85" s="47"/>
      <c r="C85" s="85"/>
      <c r="D85" s="109"/>
      <c r="E85" s="109"/>
      <c r="F85" s="77"/>
      <c r="G85" s="77"/>
      <c r="H85" s="77"/>
      <c r="I85" s="77"/>
      <c r="J85" s="217"/>
      <c r="K85" s="217"/>
      <c r="L85" s="217"/>
      <c r="M85" s="217"/>
      <c r="N85" s="217"/>
      <c r="O85" s="217"/>
      <c r="P85" s="217"/>
      <c r="Q85" s="217"/>
      <c r="R85" s="217">
        <f>IF(R86=0,0,1)</f>
        <v>1</v>
      </c>
      <c r="S85" s="217"/>
    </row>
    <row r="86" spans="1:19" ht="16.5" customHeight="1">
      <c r="A86" s="166" t="s">
        <v>33</v>
      </c>
      <c r="B86" s="47"/>
      <c r="C86" s="84"/>
      <c r="D86" s="109"/>
      <c r="E86" s="109"/>
      <c r="F86" s="84">
        <f>F76+F78+F80+F82+F84</f>
        <v>38</v>
      </c>
      <c r="G86" s="77"/>
      <c r="H86" s="77"/>
      <c r="I86" s="84">
        <f>I76+I78+I80+I82+I84</f>
        <v>0</v>
      </c>
      <c r="J86" s="217"/>
      <c r="K86" s="217"/>
      <c r="L86" s="217"/>
      <c r="M86" s="217"/>
      <c r="N86" s="217"/>
      <c r="O86" s="217"/>
      <c r="P86" s="217"/>
      <c r="Q86" s="217"/>
      <c r="R86" s="217">
        <f>IF(AND(F86=0,I86=0),0,1)</f>
        <v>1</v>
      </c>
      <c r="S86" s="217"/>
    </row>
    <row r="87" spans="1:19" ht="7.5" customHeight="1">
      <c r="A87" s="47"/>
      <c r="B87" s="47"/>
      <c r="C87" s="61"/>
      <c r="D87" s="109"/>
      <c r="E87" s="109"/>
      <c r="F87" s="87"/>
      <c r="G87" s="88"/>
      <c r="H87" s="88"/>
      <c r="I87" s="87"/>
      <c r="J87" s="217"/>
      <c r="K87" s="217"/>
      <c r="L87" s="217"/>
      <c r="M87" s="217"/>
      <c r="N87" s="217"/>
      <c r="O87" s="217"/>
      <c r="P87" s="217"/>
      <c r="Q87" s="217"/>
      <c r="R87" s="217">
        <f>IF(R88=0,0,1)</f>
        <v>1</v>
      </c>
      <c r="S87" s="217"/>
    </row>
    <row r="88" spans="1:19" ht="16.5" customHeight="1">
      <c r="A88" s="47" t="s">
        <v>124</v>
      </c>
      <c r="B88" s="47"/>
      <c r="C88" s="70"/>
      <c r="D88" s="109"/>
      <c r="E88" s="109"/>
      <c r="F88" s="70"/>
      <c r="G88" s="77"/>
      <c r="H88" s="77"/>
      <c r="I88" s="70"/>
      <c r="J88" s="217"/>
      <c r="K88" s="217"/>
      <c r="L88" s="217"/>
      <c r="M88" s="217"/>
      <c r="N88" s="217"/>
      <c r="O88" s="217"/>
      <c r="P88" s="217"/>
      <c r="Q88" s="217"/>
      <c r="R88" s="217">
        <f>IF(R104=0,0,1)</f>
        <v>1</v>
      </c>
      <c r="S88" s="217"/>
    </row>
    <row r="89" spans="1:19" ht="6.75" customHeight="1">
      <c r="A89" s="47"/>
      <c r="B89" s="47"/>
      <c r="C89" s="52"/>
      <c r="D89" s="53"/>
      <c r="E89" s="53"/>
      <c r="F89" s="54"/>
      <c r="G89" s="55"/>
      <c r="H89" s="55"/>
      <c r="I89" s="54"/>
      <c r="J89" s="217"/>
      <c r="K89" s="217"/>
      <c r="L89" s="217"/>
      <c r="M89" s="217"/>
      <c r="N89" s="217"/>
      <c r="O89" s="217"/>
      <c r="P89" s="217"/>
      <c r="Q89" s="217"/>
      <c r="R89" s="217">
        <f>IF(R90=0,0,1)</f>
        <v>1</v>
      </c>
      <c r="S89" s="217"/>
    </row>
    <row r="90" spans="1:19" ht="15">
      <c r="A90" s="56" t="s">
        <v>149</v>
      </c>
      <c r="B90" s="60"/>
      <c r="C90" s="107" t="str">
        <f>IF(AND(F90=0,I90=0),"",CONCATENATE("1.",D90,"."))</f>
        <v>1.10.</v>
      </c>
      <c r="D90" s="108">
        <f>IF(AND(F90=0,I90=0),0,MAX(D$8:D89)+1)</f>
        <v>10</v>
      </c>
      <c r="E90" s="108"/>
      <c r="F90" s="29">
        <v>9291</v>
      </c>
      <c r="G90" s="24"/>
      <c r="H90" s="24"/>
      <c r="I90" s="29">
        <v>9328</v>
      </c>
      <c r="J90" s="217"/>
      <c r="K90" s="217"/>
      <c r="L90" s="217"/>
      <c r="M90" s="217"/>
      <c r="N90" s="217"/>
      <c r="O90" s="217"/>
      <c r="P90" s="217"/>
      <c r="Q90" s="217"/>
      <c r="R90" s="217">
        <f>IF(AND(F90=0,I90=0),0,1)</f>
        <v>1</v>
      </c>
      <c r="S90" s="217"/>
    </row>
    <row r="91" spans="1:19" ht="9" customHeight="1">
      <c r="A91" s="60"/>
      <c r="B91" s="60"/>
      <c r="C91" s="61"/>
      <c r="D91" s="109"/>
      <c r="E91" s="109"/>
      <c r="F91" s="25"/>
      <c r="G91" s="30"/>
      <c r="H91" s="30"/>
      <c r="I91" s="25"/>
      <c r="J91" s="217"/>
      <c r="K91" s="217"/>
      <c r="L91" s="217"/>
      <c r="M91" s="217"/>
      <c r="N91" s="217"/>
      <c r="O91" s="217"/>
      <c r="P91" s="217"/>
      <c r="Q91" s="217"/>
      <c r="R91" s="217">
        <f>IF(R92=0,0,1)</f>
        <v>1</v>
      </c>
      <c r="S91" s="217"/>
    </row>
    <row r="92" spans="1:19" ht="15" customHeight="1">
      <c r="A92" s="56" t="s">
        <v>11</v>
      </c>
      <c r="B92" s="60"/>
      <c r="C92" s="107" t="str">
        <f>IF(AND(F92=0,I92=0),"",CONCATENATE("1.",D92,"."))</f>
        <v>1.11.</v>
      </c>
      <c r="D92" s="108">
        <f>IF(AND(F92=0,I92=0),0,MAX(D$8:D91)+1)</f>
        <v>11</v>
      </c>
      <c r="E92" s="108"/>
      <c r="F92" s="29">
        <v>309</v>
      </c>
      <c r="G92" s="24"/>
      <c r="H92" s="24"/>
      <c r="I92" s="29">
        <v>257</v>
      </c>
      <c r="J92" s="217"/>
      <c r="K92" s="217"/>
      <c r="L92" s="217"/>
      <c r="M92" s="217"/>
      <c r="N92" s="217"/>
      <c r="O92" s="217"/>
      <c r="P92" s="217"/>
      <c r="Q92" s="217"/>
      <c r="R92" s="217">
        <f>IF(AND(F92=0,I92=0),0,1)</f>
        <v>1</v>
      </c>
      <c r="S92" s="217"/>
    </row>
    <row r="93" spans="1:19" ht="9" customHeight="1">
      <c r="A93" s="60"/>
      <c r="B93" s="60"/>
      <c r="C93" s="61"/>
      <c r="D93" s="109"/>
      <c r="E93" s="109"/>
      <c r="F93" s="25"/>
      <c r="G93" s="30"/>
      <c r="H93" s="30"/>
      <c r="I93" s="25"/>
      <c r="J93" s="217"/>
      <c r="K93" s="217"/>
      <c r="L93" s="217"/>
      <c r="M93" s="217"/>
      <c r="N93" s="217"/>
      <c r="O93" s="217"/>
      <c r="P93" s="217"/>
      <c r="Q93" s="217"/>
      <c r="R93" s="217">
        <f>IF(R94=0,0,1)</f>
        <v>1</v>
      </c>
      <c r="S93" s="217"/>
    </row>
    <row r="94" spans="1:19" ht="15">
      <c r="A94" s="56" t="s">
        <v>111</v>
      </c>
      <c r="B94" s="60"/>
      <c r="C94" s="107" t="str">
        <f>IF(AND(F94=0,I94=0),"",CONCATENATE("1.",D94,"."))</f>
        <v>1.12.</v>
      </c>
      <c r="D94" s="108">
        <f>IF(AND(F94=0,I94=0),0,MAX(D$8:D93)+1)</f>
        <v>12</v>
      </c>
      <c r="E94" s="108"/>
      <c r="F94" s="29">
        <v>10</v>
      </c>
      <c r="G94" s="24"/>
      <c r="H94" s="24"/>
      <c r="I94" s="29">
        <v>5</v>
      </c>
      <c r="J94" s="217"/>
      <c r="K94" s="217"/>
      <c r="L94" s="217"/>
      <c r="M94" s="217"/>
      <c r="N94" s="217"/>
      <c r="O94" s="217"/>
      <c r="P94" s="217"/>
      <c r="Q94" s="217"/>
      <c r="R94" s="217">
        <f>IF(AND(F94=0,I94=0),0,1)</f>
        <v>1</v>
      </c>
      <c r="S94" s="217"/>
    </row>
    <row r="95" spans="1:19" ht="9" customHeight="1">
      <c r="A95" s="60"/>
      <c r="B95" s="60"/>
      <c r="C95" s="61"/>
      <c r="D95" s="109"/>
      <c r="E95" s="109"/>
      <c r="F95" s="25"/>
      <c r="G95" s="30"/>
      <c r="H95" s="30"/>
      <c r="I95" s="25"/>
      <c r="J95" s="217"/>
      <c r="K95" s="217"/>
      <c r="L95" s="217"/>
      <c r="M95" s="217"/>
      <c r="N95" s="217"/>
      <c r="O95" s="217"/>
      <c r="P95" s="217"/>
      <c r="Q95" s="217"/>
      <c r="R95" s="217">
        <f>IF(R96=0,0,1)</f>
        <v>1</v>
      </c>
      <c r="S95" s="217"/>
    </row>
    <row r="96" spans="1:19" ht="15">
      <c r="A96" s="56" t="s">
        <v>150</v>
      </c>
      <c r="B96" s="60"/>
      <c r="C96" s="107" t="str">
        <f>IF(AND(F96=0,I96=0),"",CONCATENATE("1.",D96,"."))</f>
        <v>1.13.</v>
      </c>
      <c r="D96" s="108">
        <f>IF(AND(F96=0,I96=0),0,MAX(D$8:D95)+1)</f>
        <v>13</v>
      </c>
      <c r="E96" s="108"/>
      <c r="F96" s="29">
        <v>137</v>
      </c>
      <c r="G96" s="24"/>
      <c r="H96" s="24"/>
      <c r="I96" s="29">
        <v>89</v>
      </c>
      <c r="J96" s="217"/>
      <c r="K96" s="217"/>
      <c r="L96" s="217"/>
      <c r="M96" s="217"/>
      <c r="N96" s="217"/>
      <c r="O96" s="217"/>
      <c r="P96" s="217"/>
      <c r="Q96" s="217"/>
      <c r="R96" s="217">
        <f>IF(AND(F96=0,I96=0),0,1)</f>
        <v>1</v>
      </c>
      <c r="S96" s="217"/>
    </row>
    <row r="97" spans="1:19" ht="9" customHeight="1" hidden="1">
      <c r="A97" s="60"/>
      <c r="B97" s="60"/>
      <c r="C97" s="61"/>
      <c r="D97" s="109"/>
      <c r="E97" s="109"/>
      <c r="F97" s="25"/>
      <c r="G97" s="30"/>
      <c r="H97" s="30"/>
      <c r="I97" s="25"/>
      <c r="J97" s="217"/>
      <c r="K97" s="217"/>
      <c r="L97" s="217"/>
      <c r="M97" s="217"/>
      <c r="N97" s="217"/>
      <c r="O97" s="217"/>
      <c r="P97" s="217"/>
      <c r="Q97" s="217"/>
      <c r="R97" s="217">
        <f>IF(R98=0,0,1)</f>
        <v>0</v>
      </c>
      <c r="S97" s="217"/>
    </row>
    <row r="98" spans="1:19" ht="15" hidden="1">
      <c r="A98" s="56" t="s">
        <v>72</v>
      </c>
      <c r="B98" s="60"/>
      <c r="C98" s="107">
        <f>IF(AND(F98=0,I98=0),"",CONCATENATE("1.",D98,"."))</f>
      </c>
      <c r="D98" s="108">
        <f>IF(AND(F98=0,I98=0),0,MAX(D$8:D97)+1)</f>
        <v>0</v>
      </c>
      <c r="E98" s="108"/>
      <c r="F98" s="29"/>
      <c r="G98" s="24"/>
      <c r="H98" s="24"/>
      <c r="I98" s="29"/>
      <c r="J98" s="217"/>
      <c r="K98" s="217"/>
      <c r="L98" s="217"/>
      <c r="M98" s="217"/>
      <c r="N98" s="217"/>
      <c r="O98" s="217"/>
      <c r="P98" s="217"/>
      <c r="Q98" s="217"/>
      <c r="R98" s="217">
        <f>IF(AND(F98=0,I98=0),0,1)</f>
        <v>0</v>
      </c>
      <c r="S98" s="217"/>
    </row>
    <row r="99" spans="1:19" ht="9" customHeight="1" hidden="1">
      <c r="A99" s="60"/>
      <c r="B99" s="60"/>
      <c r="C99" s="61"/>
      <c r="D99" s="109"/>
      <c r="E99" s="109"/>
      <c r="F99" s="25"/>
      <c r="G99" s="30"/>
      <c r="H99" s="30"/>
      <c r="I99" s="25"/>
      <c r="J99" s="217"/>
      <c r="K99" s="217"/>
      <c r="L99" s="217"/>
      <c r="M99" s="217"/>
      <c r="N99" s="217"/>
      <c r="O99" s="217"/>
      <c r="P99" s="217"/>
      <c r="Q99" s="217"/>
      <c r="R99" s="217">
        <f>IF(R100=0,0,1)</f>
        <v>0</v>
      </c>
      <c r="S99" s="217"/>
    </row>
    <row r="100" spans="1:19" ht="15" hidden="1">
      <c r="A100" s="56" t="s">
        <v>5</v>
      </c>
      <c r="B100" s="60"/>
      <c r="C100" s="107">
        <f>IF(AND(F100=0,I100=0),"",CONCATENATE("1.",D100,"."))</f>
      </c>
      <c r="D100" s="108">
        <f>IF(AND(F100=0,I100=0),0,MAX(D$8:D99)+1)</f>
        <v>0</v>
      </c>
      <c r="E100" s="108"/>
      <c r="F100" s="29"/>
      <c r="G100" s="24"/>
      <c r="H100" s="24"/>
      <c r="I100" s="29"/>
      <c r="J100" s="217"/>
      <c r="K100" s="217"/>
      <c r="L100" s="217"/>
      <c r="M100" s="217"/>
      <c r="N100" s="217"/>
      <c r="O100" s="217"/>
      <c r="P100" s="217"/>
      <c r="Q100" s="217"/>
      <c r="R100" s="217">
        <f>IF(AND(F100=0,I100=0),0,1)</f>
        <v>0</v>
      </c>
      <c r="S100" s="217"/>
    </row>
    <row r="101" spans="1:19" ht="9.75" customHeight="1" hidden="1">
      <c r="A101" s="60"/>
      <c r="B101" s="60"/>
      <c r="C101" s="61"/>
      <c r="D101" s="109"/>
      <c r="E101" s="109"/>
      <c r="F101" s="25"/>
      <c r="G101" s="30"/>
      <c r="H101" s="30"/>
      <c r="I101" s="25"/>
      <c r="J101" s="217"/>
      <c r="K101" s="217"/>
      <c r="L101" s="217"/>
      <c r="M101" s="217"/>
      <c r="N101" s="217"/>
      <c r="O101" s="217"/>
      <c r="P101" s="217"/>
      <c r="Q101" s="217"/>
      <c r="R101" s="217">
        <f>IF(R102=0,0,1)</f>
        <v>0</v>
      </c>
      <c r="S101" s="217"/>
    </row>
    <row r="102" spans="1:19" ht="15" customHeight="1" hidden="1">
      <c r="A102" s="56" t="s">
        <v>69</v>
      </c>
      <c r="B102" s="60"/>
      <c r="C102" s="107">
        <f>IF(AND(F102=0,I102=0),"",CONCATENATE("1.",D102,"."))</f>
      </c>
      <c r="D102" s="108">
        <f>IF(AND(F102=0,I102=0),0,MAX(D$8:D101)+1)</f>
        <v>0</v>
      </c>
      <c r="E102" s="108"/>
      <c r="F102" s="29"/>
      <c r="G102" s="24"/>
      <c r="H102" s="24"/>
      <c r="I102" s="29"/>
      <c r="J102" s="217"/>
      <c r="K102" s="217"/>
      <c r="L102" s="217"/>
      <c r="M102" s="217"/>
      <c r="N102" s="217"/>
      <c r="O102" s="217"/>
      <c r="P102" s="217"/>
      <c r="Q102" s="217"/>
      <c r="R102" s="217">
        <f>IF(AND(F102=0,I102=0),0,1)</f>
        <v>0</v>
      </c>
      <c r="S102" s="217"/>
    </row>
    <row r="103" spans="1:19" ht="8.25" customHeight="1">
      <c r="A103" s="47"/>
      <c r="B103" s="47"/>
      <c r="C103" s="85"/>
      <c r="D103" s="110"/>
      <c r="E103" s="110"/>
      <c r="F103" s="77"/>
      <c r="G103" s="77"/>
      <c r="H103" s="77"/>
      <c r="I103" s="77"/>
      <c r="J103" s="217"/>
      <c r="K103" s="217"/>
      <c r="L103" s="217"/>
      <c r="M103" s="217"/>
      <c r="N103" s="217"/>
      <c r="O103" s="217"/>
      <c r="P103" s="217"/>
      <c r="Q103" s="217"/>
      <c r="R103" s="217">
        <f>IF(R104=0,0,1)</f>
        <v>1</v>
      </c>
      <c r="S103" s="217"/>
    </row>
    <row r="104" spans="1:19" ht="16.5" customHeight="1">
      <c r="A104" s="166" t="s">
        <v>34</v>
      </c>
      <c r="B104" s="47"/>
      <c r="C104" s="84"/>
      <c r="D104" s="110"/>
      <c r="E104" s="110"/>
      <c r="F104" s="84">
        <f>F90+F92+F94+F96+F98+F100+F102</f>
        <v>9747</v>
      </c>
      <c r="G104" s="77"/>
      <c r="H104" s="77"/>
      <c r="I104" s="84">
        <f>I90+I92+I94+I96+I98+I100+I102</f>
        <v>9679</v>
      </c>
      <c r="J104" s="217"/>
      <c r="K104" s="217"/>
      <c r="L104" s="217"/>
      <c r="M104" s="217"/>
      <c r="N104" s="217"/>
      <c r="O104" s="217"/>
      <c r="P104" s="217"/>
      <c r="Q104" s="217"/>
      <c r="R104" s="217">
        <f>IF(AND(F104=0,I104=0),0,1)</f>
        <v>1</v>
      </c>
      <c r="S104" s="217"/>
    </row>
    <row r="105" spans="1:19" ht="9" customHeight="1">
      <c r="A105" s="60"/>
      <c r="B105" s="60"/>
      <c r="C105" s="61"/>
      <c r="D105" s="110"/>
      <c r="E105" s="110"/>
      <c r="F105" s="89"/>
      <c r="G105" s="86"/>
      <c r="H105" s="86"/>
      <c r="I105" s="89"/>
      <c r="J105" s="217"/>
      <c r="K105" s="217"/>
      <c r="L105" s="217"/>
      <c r="M105" s="217"/>
      <c r="N105" s="217"/>
      <c r="O105" s="217"/>
      <c r="P105" s="217"/>
      <c r="Q105" s="217"/>
      <c r="R105" s="217">
        <v>2</v>
      </c>
      <c r="S105" s="217"/>
    </row>
    <row r="106" spans="1:19" ht="16.5" customHeight="1" thickBot="1">
      <c r="A106" s="74" t="s">
        <v>74</v>
      </c>
      <c r="B106" s="47"/>
      <c r="C106" s="74"/>
      <c r="D106" s="110"/>
      <c r="E106" s="110"/>
      <c r="F106" s="74">
        <f>F72+F86+F104</f>
        <v>74694</v>
      </c>
      <c r="G106" s="70"/>
      <c r="H106" s="70"/>
      <c r="I106" s="74">
        <f>I72+I86+I104</f>
        <v>74617</v>
      </c>
      <c r="J106" s="217"/>
      <c r="K106" s="217"/>
      <c r="L106" s="217"/>
      <c r="M106" s="217"/>
      <c r="N106" s="217"/>
      <c r="O106" s="217"/>
      <c r="P106" s="217"/>
      <c r="Q106" s="217"/>
      <c r="R106" s="217">
        <v>2</v>
      </c>
      <c r="S106" s="217"/>
    </row>
    <row r="107" spans="1:19" ht="15.75" thickTop="1">
      <c r="A107" s="359">
        <f>IF(AND(F$43=F$106,I$43=I$106),"","Разлика между актива и пасива!")</f>
      </c>
      <c r="B107" s="359"/>
      <c r="C107" s="359"/>
      <c r="D107" s="90"/>
      <c r="E107" s="90"/>
      <c r="F107" s="91">
        <f>IF(F$43=F$106,"",F43-F106)</f>
      </c>
      <c r="G107" s="92"/>
      <c r="H107" s="92"/>
      <c r="I107" s="91">
        <f>IF(I$43=I$106,"",I43-I106)</f>
      </c>
      <c r="J107" s="217"/>
      <c r="K107" s="217"/>
      <c r="L107" s="217"/>
      <c r="M107" s="217"/>
      <c r="N107" s="217"/>
      <c r="O107" s="217"/>
      <c r="P107" s="217"/>
      <c r="Q107" s="217"/>
      <c r="R107" s="217">
        <v>2</v>
      </c>
      <c r="S107" s="217"/>
    </row>
    <row r="108" spans="1:19" ht="15">
      <c r="A108" s="157" t="str">
        <f>ОПР!A54</f>
        <v>Приложенията от страница 6 до страница 35 са неразделна част от финансовия отчет.</v>
      </c>
      <c r="B108" s="157"/>
      <c r="C108" s="157"/>
      <c r="D108" s="157"/>
      <c r="E108" s="157"/>
      <c r="F108" s="157"/>
      <c r="G108" s="157"/>
      <c r="H108" s="157"/>
      <c r="I108" s="157"/>
      <c r="J108" s="217"/>
      <c r="K108" s="217"/>
      <c r="L108" s="217"/>
      <c r="M108" s="217"/>
      <c r="N108" s="217"/>
      <c r="O108" s="217"/>
      <c r="P108" s="217"/>
      <c r="Q108" s="217"/>
      <c r="R108" s="217">
        <v>2</v>
      </c>
      <c r="S108" s="217"/>
    </row>
    <row r="109" spans="1:19" ht="15">
      <c r="A109" s="358">
        <f>IF(AND(F$43=F$106,I$43=I$106),"","Сума на актива:")</f>
      </c>
      <c r="B109" s="358"/>
      <c r="C109" s="358"/>
      <c r="D109" s="93"/>
      <c r="E109" s="93"/>
      <c r="F109" s="94">
        <f>IF(F$43=F$106,"",F43)</f>
      </c>
      <c r="G109" s="93"/>
      <c r="H109" s="93"/>
      <c r="I109" s="94">
        <f>IF(I$43=I$106,"",I43)</f>
      </c>
      <c r="J109" s="217"/>
      <c r="K109" s="217"/>
      <c r="L109" s="217"/>
      <c r="M109" s="217"/>
      <c r="N109" s="217"/>
      <c r="O109" s="217"/>
      <c r="P109" s="217"/>
      <c r="Q109" s="217"/>
      <c r="R109" s="217">
        <v>2</v>
      </c>
      <c r="S109" s="217"/>
    </row>
    <row r="110" spans="1:19" ht="15">
      <c r="A110" s="95" t="str">
        <f>НАЧАЛО!$A$44</f>
        <v>Представляващ:</v>
      </c>
      <c r="B110" s="96"/>
      <c r="C110" s="97"/>
      <c r="D110" s="90"/>
      <c r="E110" s="90"/>
      <c r="F110" s="98"/>
      <c r="G110" s="98"/>
      <c r="H110" s="98"/>
      <c r="I110" s="98"/>
      <c r="J110" s="217"/>
      <c r="K110" s="217"/>
      <c r="L110" s="217"/>
      <c r="M110" s="217"/>
      <c r="N110" s="217"/>
      <c r="O110" s="217"/>
      <c r="P110" s="217"/>
      <c r="Q110" s="217"/>
      <c r="R110" s="217">
        <v>2</v>
      </c>
      <c r="S110" s="217"/>
    </row>
    <row r="111" spans="1:19" ht="15">
      <c r="A111" s="99" t="str">
        <f>НАЧАЛО!$A$46</f>
        <v>Явор Хайтов, Красимир Сланчев</v>
      </c>
      <c r="B111" s="100"/>
      <c r="C111" s="97"/>
      <c r="D111" s="90"/>
      <c r="E111" s="90"/>
      <c r="F111" s="98"/>
      <c r="G111" s="98"/>
      <c r="H111" s="98"/>
      <c r="I111" s="98"/>
      <c r="J111" s="217"/>
      <c r="K111" s="217"/>
      <c r="L111" s="217"/>
      <c r="M111" s="217"/>
      <c r="N111" s="217"/>
      <c r="O111" s="217"/>
      <c r="P111" s="217"/>
      <c r="Q111" s="217"/>
      <c r="R111" s="217">
        <v>2</v>
      </c>
      <c r="S111" s="217"/>
    </row>
    <row r="112" spans="1:19" ht="15">
      <c r="A112" s="101"/>
      <c r="B112" s="102"/>
      <c r="C112" s="97"/>
      <c r="D112" s="90"/>
      <c r="E112" s="90"/>
      <c r="F112" s="98"/>
      <c r="G112" s="98"/>
      <c r="H112" s="98"/>
      <c r="I112" s="98"/>
      <c r="J112" s="217"/>
      <c r="K112" s="217"/>
      <c r="L112" s="217"/>
      <c r="M112" s="217"/>
      <c r="N112" s="217"/>
      <c r="O112" s="217"/>
      <c r="P112" s="217"/>
      <c r="Q112" s="217"/>
      <c r="R112" s="217">
        <v>2</v>
      </c>
      <c r="S112" s="217"/>
    </row>
    <row r="113" spans="1:19" ht="15">
      <c r="A113" s="100" t="str">
        <f>НАЧАЛО!$F$44</f>
        <v>Съставител:</v>
      </c>
      <c r="B113" s="102"/>
      <c r="C113" s="97"/>
      <c r="D113" s="90"/>
      <c r="E113" s="90"/>
      <c r="F113" s="98"/>
      <c r="G113" s="98"/>
      <c r="H113" s="98"/>
      <c r="I113" s="98"/>
      <c r="J113" s="217"/>
      <c r="K113" s="217"/>
      <c r="L113" s="217"/>
      <c r="M113" s="217"/>
      <c r="N113" s="217"/>
      <c r="O113" s="217"/>
      <c r="P113" s="217"/>
      <c r="Q113" s="217"/>
      <c r="R113" s="217">
        <v>2</v>
      </c>
      <c r="S113" s="217"/>
    </row>
    <row r="114" spans="1:19" ht="15">
      <c r="A114" s="103" t="str">
        <f>НАЧАЛО!$F$46</f>
        <v>Ралица Кайджиева</v>
      </c>
      <c r="B114" s="100"/>
      <c r="C114" s="97"/>
      <c r="D114" s="90"/>
      <c r="E114" s="90"/>
      <c r="F114" s="98"/>
      <c r="G114" s="98"/>
      <c r="H114" s="98"/>
      <c r="I114" s="98"/>
      <c r="J114" s="217"/>
      <c r="K114" s="217"/>
      <c r="L114" s="217"/>
      <c r="M114" s="217"/>
      <c r="N114" s="217"/>
      <c r="O114" s="217"/>
      <c r="P114" s="217"/>
      <c r="Q114" s="217"/>
      <c r="R114" s="217">
        <v>2</v>
      </c>
      <c r="S114" s="217"/>
    </row>
    <row r="115" spans="1:19" ht="15">
      <c r="A115" s="100"/>
      <c r="B115" s="104"/>
      <c r="C115" s="97"/>
      <c r="D115" s="90"/>
      <c r="E115" s="90"/>
      <c r="F115" s="98"/>
      <c r="G115" s="98"/>
      <c r="H115" s="98"/>
      <c r="I115" s="98"/>
      <c r="J115" s="217"/>
      <c r="K115" s="217"/>
      <c r="L115" s="217"/>
      <c r="M115" s="217"/>
      <c r="N115" s="217"/>
      <c r="O115" s="217"/>
      <c r="P115" s="217"/>
      <c r="Q115" s="217"/>
      <c r="R115" s="217">
        <v>2</v>
      </c>
      <c r="S115" s="217"/>
    </row>
    <row r="116" spans="1:19" ht="15">
      <c r="A116" s="103" t="str">
        <f>НАЧАЛО!$C$49</f>
        <v>Заверил:</v>
      </c>
      <c r="B116" s="98"/>
      <c r="C116" s="97"/>
      <c r="D116" s="90"/>
      <c r="E116" s="90"/>
      <c r="F116" s="98"/>
      <c r="G116" s="98"/>
      <c r="H116" s="98"/>
      <c r="I116" s="98"/>
      <c r="J116" s="217"/>
      <c r="K116" s="217"/>
      <c r="L116" s="217"/>
      <c r="M116" s="217"/>
      <c r="N116" s="217"/>
      <c r="O116" s="217"/>
      <c r="P116" s="217"/>
      <c r="Q116" s="217"/>
      <c r="R116" s="217">
        <v>2</v>
      </c>
      <c r="S116" s="217"/>
    </row>
    <row r="117" spans="1:19" ht="15">
      <c r="A117" s="99" t="str">
        <f>НАЧАЛО!$C$51</f>
        <v>СОП „Ейч Ел Би България” ООД</v>
      </c>
      <c r="B117" s="98"/>
      <c r="C117" s="97"/>
      <c r="D117" s="90"/>
      <c r="E117" s="90"/>
      <c r="F117" s="98"/>
      <c r="G117" s="98"/>
      <c r="H117" s="98"/>
      <c r="I117" s="98"/>
      <c r="J117" s="217"/>
      <c r="K117" s="217"/>
      <c r="L117" s="217"/>
      <c r="M117" s="217"/>
      <c r="N117" s="217"/>
      <c r="O117" s="217"/>
      <c r="P117" s="217"/>
      <c r="Q117" s="217"/>
      <c r="R117" s="217">
        <v>2</v>
      </c>
      <c r="S117" s="217"/>
    </row>
    <row r="118" spans="1:19" ht="18.75">
      <c r="A118" s="105"/>
      <c r="B118" s="98"/>
      <c r="C118" s="97"/>
      <c r="D118" s="90"/>
      <c r="E118" s="90"/>
      <c r="F118" s="98"/>
      <c r="G118" s="98"/>
      <c r="H118" s="98"/>
      <c r="I118" s="98"/>
      <c r="J118" s="217"/>
      <c r="K118" s="217"/>
      <c r="L118" s="217"/>
      <c r="M118" s="217"/>
      <c r="N118" s="217"/>
      <c r="O118" s="217"/>
      <c r="P118" s="217"/>
      <c r="Q118" s="217"/>
      <c r="R118" s="217">
        <v>2</v>
      </c>
      <c r="S118" s="217"/>
    </row>
    <row r="119" spans="1:19" ht="15">
      <c r="A119" s="99" t="str">
        <f>НАЧАЛО!$C$57</f>
        <v>София, 21 април 2009 г.</v>
      </c>
      <c r="B119" s="96"/>
      <c r="C119" s="97"/>
      <c r="D119" s="90"/>
      <c r="E119" s="90"/>
      <c r="F119" s="98"/>
      <c r="G119" s="98"/>
      <c r="H119" s="98"/>
      <c r="I119" s="98"/>
      <c r="J119" s="217"/>
      <c r="K119" s="217"/>
      <c r="L119" s="217"/>
      <c r="M119" s="217"/>
      <c r="N119" s="217"/>
      <c r="O119" s="217"/>
      <c r="P119" s="217"/>
      <c r="Q119" s="217"/>
      <c r="R119" s="217">
        <v>2</v>
      </c>
      <c r="S119" s="217"/>
    </row>
    <row r="120" ht="15" hidden="1"/>
    <row r="121" ht="15" hidden="1"/>
    <row r="122" ht="15" hidden="1"/>
    <row r="123" ht="15" hidden="1"/>
    <row r="124" spans="1:5" ht="15" hidden="1">
      <c r="A124" s="31"/>
      <c r="B124" s="31"/>
      <c r="C124" s="32"/>
      <c r="D124" s="13"/>
      <c r="E124" s="13"/>
    </row>
    <row r="125" ht="15" hidden="1"/>
    <row r="126" spans="1:5" ht="15" hidden="1">
      <c r="A126" s="31"/>
      <c r="B126" s="31"/>
      <c r="C126" s="32"/>
      <c r="D126" s="13"/>
      <c r="E126" s="13"/>
    </row>
    <row r="127" spans="1:5" ht="15" hidden="1">
      <c r="A127" s="31"/>
      <c r="B127" s="31"/>
      <c r="C127" s="32"/>
      <c r="D127" s="13"/>
      <c r="E127" s="13"/>
    </row>
    <row r="128" spans="1:2" ht="15" hidden="1">
      <c r="A128" s="32"/>
      <c r="B128" s="32"/>
    </row>
    <row r="129" ht="15" hidden="1"/>
    <row r="130" spans="1:2" ht="15" hidden="1">
      <c r="A130" s="35"/>
      <c r="B130" s="35"/>
    </row>
    <row r="131" spans="1:2" ht="15" hidden="1">
      <c r="A131" s="36"/>
      <c r="B131" s="36"/>
    </row>
    <row r="132" spans="1:2" ht="15" hidden="1">
      <c r="A132" s="36"/>
      <c r="B132" s="36"/>
    </row>
    <row r="133" spans="1:2" ht="15" hidden="1">
      <c r="A133" s="35"/>
      <c r="B133" s="35"/>
    </row>
    <row r="134" spans="1:2" ht="15" hidden="1">
      <c r="A134" s="37"/>
      <c r="B134" s="37"/>
    </row>
    <row r="135" ht="15" hidden="1"/>
    <row r="136" ht="15" hidden="1"/>
    <row r="137" spans="1:2" ht="15" hidden="1">
      <c r="A137" s="38"/>
      <c r="B137" s="38"/>
    </row>
    <row r="138" spans="1:2" ht="15" hidden="1">
      <c r="A138" s="38"/>
      <c r="B138" s="38"/>
    </row>
    <row r="139" spans="1:2" ht="15" hidden="1">
      <c r="A139" s="39"/>
      <c r="B139" s="39"/>
    </row>
  </sheetData>
  <sheetProtection password="DC9E" sheet="1" objects="1" formatRows="0"/>
  <mergeCells count="2">
    <mergeCell ref="A109:C109"/>
    <mergeCell ref="A107:C107"/>
  </mergeCells>
  <conditionalFormatting sqref="A1:I119">
    <cfRule type="expression" priority="6" dxfId="0" stopIfTrue="1">
      <formula>JJ31&lt;&gt;JK31</formula>
    </cfRule>
    <cfRule type="expression" priority="7" dxfId="0" stopIfTrue="1">
      <formula>JJ32&gt;JK32</formula>
    </cfRule>
  </conditionalFormatting>
  <conditionalFormatting sqref="A108">
    <cfRule type="expression" priority="1" dxfId="6" stopIfTrue="1">
      <formula>JJ61=JK61</formula>
    </cfRule>
  </conditionalFormatting>
  <printOptions horizontalCentered="1"/>
  <pageMargins left="0.7480314960629921" right="0.7480314960629921" top="0.4724409448818898" bottom="0.35433070866141736" header="0.3937007874015748" footer="0.1968503937007874"/>
  <pageSetup firstPageNumber="1" useFirstPageNumber="1" horizontalDpi="600" verticalDpi="600" orientation="portrait" paperSize="9" scale="90" r:id="rId2"/>
  <rowBreaks count="1" manualBreakCount="1">
    <brk id="4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68"/>
  <sheetViews>
    <sheetView zoomScaleSheetLayoutView="80" zoomScalePageLayoutView="0" workbookViewId="0" topLeftCell="A1">
      <pane ySplit="1" topLeftCell="BM2" activePane="bottomLeft" state="frozen"/>
      <selection pane="topLeft" activeCell="A1" sqref="A1"/>
      <selection pane="bottomLeft" activeCell="F44" sqref="F44"/>
    </sheetView>
  </sheetViews>
  <sheetFormatPr defaultColWidth="9.140625" defaultRowHeight="12.75"/>
  <cols>
    <col min="1" max="1" width="50.7109375" style="112" customWidth="1"/>
    <col min="2" max="2" width="1.7109375" style="112" customWidth="1"/>
    <col min="3" max="3" width="10.140625" style="120" bestFit="1" customWidth="1"/>
    <col min="4" max="4" width="1.7109375" style="120" hidden="1" customWidth="1"/>
    <col min="5" max="5" width="1.7109375" style="120" customWidth="1"/>
    <col min="6" max="6" width="12.7109375" style="121" customWidth="1"/>
    <col min="7" max="7" width="1.7109375" style="112" hidden="1" customWidth="1"/>
    <col min="8" max="8" width="1.7109375" style="112" customWidth="1"/>
    <col min="9" max="9" width="12.7109375" style="121" customWidth="1"/>
    <col min="10" max="17" width="1.7109375" style="121" hidden="1" customWidth="1"/>
    <col min="18" max="18" width="1.7109375" style="220" hidden="1" customWidth="1"/>
    <col min="19" max="19" width="1.7109375" style="121" customWidth="1"/>
    <col min="20" max="16384" width="9.140625" style="112" customWidth="1"/>
  </cols>
  <sheetData>
    <row r="1" spans="1:25" ht="18" customHeight="1">
      <c r="A1" s="306" t="str">
        <f>НАЧАЛО!B3</f>
        <v>"Железопътна Инфраструктура - Холдингово Дружество" АД</v>
      </c>
      <c r="B1" s="306"/>
      <c r="C1" s="307"/>
      <c r="D1" s="307"/>
      <c r="E1" s="307"/>
      <c r="F1" s="307"/>
      <c r="G1" s="307"/>
      <c r="H1" s="307"/>
      <c r="I1" s="307"/>
      <c r="J1" s="76"/>
      <c r="K1" s="76"/>
      <c r="L1" s="76"/>
      <c r="M1" s="76"/>
      <c r="N1" s="76"/>
      <c r="O1" s="76"/>
      <c r="P1" s="76"/>
      <c r="Q1" s="76"/>
      <c r="R1" s="218">
        <v>2</v>
      </c>
      <c r="S1" s="76"/>
      <c r="T1" s="315"/>
      <c r="U1" s="315"/>
      <c r="V1" s="315"/>
      <c r="W1" s="315"/>
      <c r="X1" s="315"/>
      <c r="Y1" s="315"/>
    </row>
    <row r="2" spans="1:19" s="113" customFormat="1" ht="15">
      <c r="A2" s="311" t="str">
        <f>НАЧАЛО!AA16</f>
        <v>ОТЧЕТ ЗА ДОХОДИТЕ към 31.3.2009 година</v>
      </c>
      <c r="B2" s="311"/>
      <c r="C2" s="337"/>
      <c r="D2" s="337"/>
      <c r="E2" s="337"/>
      <c r="F2" s="337"/>
      <c r="G2" s="337"/>
      <c r="H2" s="337"/>
      <c r="I2" s="337"/>
      <c r="J2" s="274"/>
      <c r="K2" s="274"/>
      <c r="L2" s="274"/>
      <c r="M2" s="274"/>
      <c r="N2" s="274"/>
      <c r="O2" s="274"/>
      <c r="P2" s="274"/>
      <c r="Q2" s="274"/>
      <c r="R2" s="218">
        <v>2</v>
      </c>
      <c r="S2" s="274"/>
    </row>
    <row r="3" spans="1:19" ht="9" customHeight="1">
      <c r="A3" s="124"/>
      <c r="B3" s="124"/>
      <c r="C3" s="125"/>
      <c r="D3" s="125"/>
      <c r="E3" s="125"/>
      <c r="F3" s="126"/>
      <c r="G3" s="127"/>
      <c r="H3" s="127"/>
      <c r="I3" s="126"/>
      <c r="J3" s="275"/>
      <c r="K3" s="275"/>
      <c r="L3" s="275"/>
      <c r="M3" s="275"/>
      <c r="N3" s="275"/>
      <c r="O3" s="275"/>
      <c r="P3" s="275"/>
      <c r="Q3" s="275"/>
      <c r="R3" s="218">
        <v>2</v>
      </c>
      <c r="S3" s="275"/>
    </row>
    <row r="4" spans="1:19" ht="15.75" customHeight="1">
      <c r="A4" s="128"/>
      <c r="B4" s="128"/>
      <c r="C4" s="128"/>
      <c r="D4" s="128"/>
      <c r="E4" s="128"/>
      <c r="F4" s="114" t="str">
        <f>НАЧАЛО!AD1&amp;" г."</f>
        <v>31.3.2009 г.</v>
      </c>
      <c r="G4" s="129"/>
      <c r="H4" s="129"/>
      <c r="I4" s="114" t="str">
        <f>НАЧАЛО!AF1&amp;" г."</f>
        <v>31.3.2008 г.</v>
      </c>
      <c r="J4" s="276"/>
      <c r="K4" s="276"/>
      <c r="L4" s="276"/>
      <c r="M4" s="276"/>
      <c r="N4" s="276"/>
      <c r="O4" s="276"/>
      <c r="P4" s="276"/>
      <c r="Q4" s="276"/>
      <c r="R4" s="218">
        <v>2</v>
      </c>
      <c r="S4" s="276"/>
    </row>
    <row r="5" spans="1:19" ht="15.75" customHeight="1">
      <c r="A5" s="128"/>
      <c r="B5" s="128"/>
      <c r="C5" s="130" t="s">
        <v>82</v>
      </c>
      <c r="D5" s="130"/>
      <c r="E5" s="130"/>
      <c r="F5" s="129" t="s">
        <v>94</v>
      </c>
      <c r="G5" s="47"/>
      <c r="H5" s="47"/>
      <c r="I5" s="129" t="s">
        <v>94</v>
      </c>
      <c r="J5" s="277"/>
      <c r="K5" s="277"/>
      <c r="L5" s="277"/>
      <c r="M5" s="277"/>
      <c r="N5" s="277"/>
      <c r="O5" s="277"/>
      <c r="P5" s="277"/>
      <c r="Q5" s="277"/>
      <c r="R5" s="218">
        <v>2</v>
      </c>
      <c r="S5" s="277"/>
    </row>
    <row r="6" spans="1:19" ht="15.75">
      <c r="A6" s="67" t="s">
        <v>129</v>
      </c>
      <c r="B6" s="67"/>
      <c r="C6" s="130"/>
      <c r="D6" s="130"/>
      <c r="E6" s="130"/>
      <c r="F6" s="131"/>
      <c r="G6" s="132"/>
      <c r="H6" s="132"/>
      <c r="I6" s="131"/>
      <c r="J6" s="278"/>
      <c r="K6" s="278"/>
      <c r="L6" s="278"/>
      <c r="M6" s="278"/>
      <c r="N6" s="278"/>
      <c r="O6" s="278"/>
      <c r="P6" s="278"/>
      <c r="Q6" s="278"/>
      <c r="R6" s="218">
        <v>2</v>
      </c>
      <c r="S6" s="278"/>
    </row>
    <row r="7" spans="1:19" ht="6.75" customHeight="1" hidden="1">
      <c r="A7" s="128"/>
      <c r="B7" s="128"/>
      <c r="C7" s="133"/>
      <c r="D7" s="133"/>
      <c r="E7" s="133"/>
      <c r="F7" s="131"/>
      <c r="G7" s="132"/>
      <c r="H7" s="132"/>
      <c r="I7" s="131"/>
      <c r="J7" s="278"/>
      <c r="K7" s="278"/>
      <c r="L7" s="278"/>
      <c r="M7" s="278"/>
      <c r="N7" s="278"/>
      <c r="O7" s="278"/>
      <c r="P7" s="278"/>
      <c r="Q7" s="278"/>
      <c r="R7" s="218">
        <f>IF(R8=0,0,R8)</f>
        <v>0</v>
      </c>
      <c r="S7" s="278"/>
    </row>
    <row r="8" spans="1:19" s="13" customFormat="1" ht="15.75" customHeight="1" hidden="1">
      <c r="A8" s="134" t="s">
        <v>138</v>
      </c>
      <c r="B8" s="71"/>
      <c r="C8" s="163">
        <f>IF(AND(F8=0,I8=0),"",CONCATENATE("2.1.",D8,"."))</f>
      </c>
      <c r="D8" s="108">
        <f>IF(AND(F8=0,I8=0),0,MAX(D$7:D7)+1)</f>
        <v>0</v>
      </c>
      <c r="E8" s="108"/>
      <c r="F8" s="136">
        <f>SUM(F9:F12)</f>
        <v>0</v>
      </c>
      <c r="G8" s="137"/>
      <c r="H8" s="137"/>
      <c r="I8" s="136">
        <f>SUM(I9:I12)</f>
        <v>0</v>
      </c>
      <c r="J8" s="279"/>
      <c r="K8" s="279"/>
      <c r="L8" s="279"/>
      <c r="M8" s="279"/>
      <c r="N8" s="279"/>
      <c r="O8" s="279"/>
      <c r="P8" s="279"/>
      <c r="Q8" s="279"/>
      <c r="R8" s="218">
        <f>IF(AND(F8=0,I8=0),0,1)</f>
        <v>0</v>
      </c>
      <c r="S8" s="279"/>
    </row>
    <row r="9" spans="1:19" s="13" customFormat="1" ht="15" customHeight="1" hidden="1">
      <c r="A9" s="60" t="s">
        <v>130</v>
      </c>
      <c r="B9" s="60"/>
      <c r="C9" s="53"/>
      <c r="D9" s="110"/>
      <c r="E9" s="110"/>
      <c r="F9" s="117"/>
      <c r="G9" s="116"/>
      <c r="H9" s="116"/>
      <c r="I9" s="117"/>
      <c r="J9" s="280"/>
      <c r="K9" s="280"/>
      <c r="L9" s="280"/>
      <c r="M9" s="280"/>
      <c r="N9" s="280"/>
      <c r="O9" s="280"/>
      <c r="P9" s="280"/>
      <c r="Q9" s="280"/>
      <c r="R9" s="218">
        <f>IF(AND(F9=0,I9=0),0,1)</f>
        <v>0</v>
      </c>
      <c r="S9" s="280"/>
    </row>
    <row r="10" spans="1:19" s="13" customFormat="1" ht="15" customHeight="1" hidden="1">
      <c r="A10" s="60" t="s">
        <v>131</v>
      </c>
      <c r="B10" s="60"/>
      <c r="C10" s="53"/>
      <c r="D10" s="110"/>
      <c r="E10" s="110"/>
      <c r="F10" s="117"/>
      <c r="G10" s="116"/>
      <c r="H10" s="116"/>
      <c r="I10" s="117"/>
      <c r="J10" s="280"/>
      <c r="K10" s="280"/>
      <c r="L10" s="280"/>
      <c r="M10" s="280"/>
      <c r="N10" s="280"/>
      <c r="O10" s="280"/>
      <c r="P10" s="280"/>
      <c r="Q10" s="280"/>
      <c r="R10" s="218">
        <f>IF(AND(F10=0,I10=0),0,1)</f>
        <v>0</v>
      </c>
      <c r="S10" s="280"/>
    </row>
    <row r="11" spans="1:19" s="13" customFormat="1" ht="15" customHeight="1" hidden="1">
      <c r="A11" s="60" t="s">
        <v>132</v>
      </c>
      <c r="B11" s="60"/>
      <c r="C11" s="53"/>
      <c r="D11" s="110"/>
      <c r="E11" s="110"/>
      <c r="F11" s="117"/>
      <c r="G11" s="116"/>
      <c r="H11" s="116"/>
      <c r="I11" s="117"/>
      <c r="J11" s="280"/>
      <c r="K11" s="280"/>
      <c r="L11" s="280"/>
      <c r="M11" s="280"/>
      <c r="N11" s="280"/>
      <c r="O11" s="280"/>
      <c r="P11" s="280"/>
      <c r="Q11" s="280"/>
      <c r="R11" s="218">
        <f>IF(AND(F11=0,I11=0),0,1)</f>
        <v>0</v>
      </c>
      <c r="S11" s="280"/>
    </row>
    <row r="12" spans="1:19" s="13" customFormat="1" ht="15" customHeight="1" hidden="1">
      <c r="A12" s="60" t="s">
        <v>114</v>
      </c>
      <c r="B12" s="60"/>
      <c r="C12" s="53"/>
      <c r="D12" s="110"/>
      <c r="E12" s="110"/>
      <c r="F12" s="117"/>
      <c r="G12" s="118"/>
      <c r="H12" s="118"/>
      <c r="I12" s="117"/>
      <c r="J12" s="280"/>
      <c r="K12" s="280"/>
      <c r="L12" s="280"/>
      <c r="M12" s="280"/>
      <c r="N12" s="280"/>
      <c r="O12" s="280"/>
      <c r="P12" s="280"/>
      <c r="Q12" s="280"/>
      <c r="R12" s="218">
        <f>IF(AND(F12=0,I12=0),0,1)</f>
        <v>0</v>
      </c>
      <c r="S12" s="280"/>
    </row>
    <row r="13" spans="1:19" s="13" customFormat="1" ht="6.75" customHeight="1" hidden="1">
      <c r="A13" s="71"/>
      <c r="B13" s="71"/>
      <c r="C13" s="139"/>
      <c r="D13" s="140"/>
      <c r="E13" s="140"/>
      <c r="F13" s="138"/>
      <c r="G13" s="138"/>
      <c r="H13" s="138"/>
      <c r="I13" s="138"/>
      <c r="J13" s="281"/>
      <c r="K13" s="281"/>
      <c r="L13" s="281"/>
      <c r="M13" s="281"/>
      <c r="N13" s="281"/>
      <c r="O13" s="281"/>
      <c r="P13" s="281"/>
      <c r="Q13" s="281"/>
      <c r="R13" s="218">
        <f>IF(R14=0,0,R14)</f>
        <v>0</v>
      </c>
      <c r="S13" s="281"/>
    </row>
    <row r="14" spans="1:19" s="13" customFormat="1" ht="30" hidden="1">
      <c r="A14" s="149" t="s">
        <v>70</v>
      </c>
      <c r="B14" s="71"/>
      <c r="C14" s="163">
        <f>IF(AND(F14=0,I14=0),"",CONCATENATE("2.1.",D14,"."))</f>
      </c>
      <c r="D14" s="108">
        <f>IF(AND(F14=0,I14=0),0,MAX(D$7:D13)+1)</f>
        <v>0</v>
      </c>
      <c r="E14" s="108"/>
      <c r="F14" s="115"/>
      <c r="G14" s="117"/>
      <c r="H14" s="117"/>
      <c r="I14" s="115"/>
      <c r="J14" s="282"/>
      <c r="K14" s="282"/>
      <c r="L14" s="282"/>
      <c r="M14" s="282"/>
      <c r="N14" s="282"/>
      <c r="O14" s="282"/>
      <c r="P14" s="282"/>
      <c r="Q14" s="282"/>
      <c r="R14" s="218">
        <f>IF(AND(F14=0,I14=0),0,1)</f>
        <v>0</v>
      </c>
      <c r="S14" s="282"/>
    </row>
    <row r="15" spans="1:19" s="13" customFormat="1" ht="6.75" customHeight="1">
      <c r="A15" s="71"/>
      <c r="B15" s="71"/>
      <c r="C15" s="53"/>
      <c r="D15" s="110"/>
      <c r="E15" s="110"/>
      <c r="F15" s="141"/>
      <c r="G15" s="142"/>
      <c r="H15" s="142"/>
      <c r="I15" s="141"/>
      <c r="J15" s="279"/>
      <c r="K15" s="279"/>
      <c r="L15" s="279"/>
      <c r="M15" s="279"/>
      <c r="N15" s="279"/>
      <c r="O15" s="279"/>
      <c r="P15" s="279"/>
      <c r="Q15" s="279"/>
      <c r="R15" s="218">
        <f>IF(R16=0,0,R16)</f>
        <v>1</v>
      </c>
      <c r="S15" s="279"/>
    </row>
    <row r="16" spans="1:19" s="13" customFormat="1" ht="17.25" customHeight="1">
      <c r="A16" s="134" t="s">
        <v>137</v>
      </c>
      <c r="B16" s="71"/>
      <c r="C16" s="163" t="str">
        <f>IF(AND(F16=0,I16=0),"",CONCATENATE("2.1.",D16,"."))</f>
        <v>2.1.1.</v>
      </c>
      <c r="D16" s="108">
        <f>IF(AND(F16=0,I16=0),0,MAX(D$7:D15)+1)</f>
        <v>1</v>
      </c>
      <c r="E16" s="108"/>
      <c r="F16" s="115">
        <v>239</v>
      </c>
      <c r="G16" s="117"/>
      <c r="H16" s="117"/>
      <c r="I16" s="115">
        <v>15</v>
      </c>
      <c r="J16" s="282"/>
      <c r="K16" s="282"/>
      <c r="L16" s="282"/>
      <c r="M16" s="282"/>
      <c r="N16" s="282"/>
      <c r="O16" s="282"/>
      <c r="P16" s="282"/>
      <c r="Q16" s="282"/>
      <c r="R16" s="218">
        <f>IF(AND(F16=0,I16=0),0,1)</f>
        <v>1</v>
      </c>
      <c r="S16" s="282"/>
    </row>
    <row r="17" spans="1:19" s="13" customFormat="1" ht="6.75" customHeight="1">
      <c r="A17" s="71"/>
      <c r="B17" s="71"/>
      <c r="C17" s="53"/>
      <c r="D17" s="110"/>
      <c r="E17" s="110"/>
      <c r="F17" s="141"/>
      <c r="G17" s="142"/>
      <c r="H17" s="142"/>
      <c r="I17" s="141"/>
      <c r="J17" s="279"/>
      <c r="K17" s="279"/>
      <c r="L17" s="279"/>
      <c r="M17" s="279"/>
      <c r="N17" s="279"/>
      <c r="O17" s="279"/>
      <c r="P17" s="279"/>
      <c r="Q17" s="279"/>
      <c r="R17" s="218">
        <v>2</v>
      </c>
      <c r="S17" s="279"/>
    </row>
    <row r="18" spans="1:19" s="13" customFormat="1" ht="15.75" customHeight="1" thickBot="1">
      <c r="A18" s="143" t="s">
        <v>128</v>
      </c>
      <c r="B18" s="47"/>
      <c r="C18" s="144"/>
      <c r="D18" s="110"/>
      <c r="E18" s="110"/>
      <c r="F18" s="145">
        <f>F8+F14+F16</f>
        <v>239</v>
      </c>
      <c r="G18" s="146"/>
      <c r="H18" s="146"/>
      <c r="I18" s="145">
        <f>I8+I14+I16</f>
        <v>15</v>
      </c>
      <c r="J18" s="279"/>
      <c r="K18" s="279"/>
      <c r="L18" s="279"/>
      <c r="M18" s="279"/>
      <c r="N18" s="279"/>
      <c r="O18" s="279"/>
      <c r="P18" s="279"/>
      <c r="Q18" s="279"/>
      <c r="R18" s="218">
        <v>2</v>
      </c>
      <c r="S18" s="279"/>
    </row>
    <row r="19" spans="1:19" s="13" customFormat="1" ht="7.5" customHeight="1" thickTop="1">
      <c r="A19" s="60"/>
      <c r="B19" s="60"/>
      <c r="C19" s="53"/>
      <c r="D19" s="110"/>
      <c r="E19" s="110"/>
      <c r="F19" s="138"/>
      <c r="G19" s="55"/>
      <c r="H19" s="55"/>
      <c r="I19" s="138"/>
      <c r="J19" s="281"/>
      <c r="K19" s="281"/>
      <c r="L19" s="281"/>
      <c r="M19" s="281"/>
      <c r="N19" s="281"/>
      <c r="O19" s="281"/>
      <c r="P19" s="281"/>
      <c r="Q19" s="281"/>
      <c r="R19" s="218">
        <v>2</v>
      </c>
      <c r="S19" s="281"/>
    </row>
    <row r="20" spans="1:19" s="13" customFormat="1" ht="18" customHeight="1">
      <c r="A20" s="67" t="s">
        <v>133</v>
      </c>
      <c r="B20" s="47"/>
      <c r="C20" s="53"/>
      <c r="D20" s="110"/>
      <c r="E20" s="110"/>
      <c r="F20" s="138"/>
      <c r="G20" s="53"/>
      <c r="H20" s="53"/>
      <c r="I20" s="138"/>
      <c r="J20" s="281"/>
      <c r="K20" s="281"/>
      <c r="L20" s="281"/>
      <c r="M20" s="281"/>
      <c r="N20" s="281"/>
      <c r="O20" s="281"/>
      <c r="P20" s="281"/>
      <c r="Q20" s="281"/>
      <c r="R20" s="218">
        <v>2</v>
      </c>
      <c r="S20" s="281"/>
    </row>
    <row r="21" spans="1:19" ht="6.75" customHeight="1">
      <c r="A21" s="128"/>
      <c r="B21" s="128"/>
      <c r="C21" s="133"/>
      <c r="D21" s="133"/>
      <c r="E21" s="133"/>
      <c r="F21" s="131"/>
      <c r="G21" s="132"/>
      <c r="H21" s="132"/>
      <c r="I21" s="131"/>
      <c r="J21" s="278"/>
      <c r="K21" s="278"/>
      <c r="L21" s="278"/>
      <c r="M21" s="278"/>
      <c r="N21" s="278"/>
      <c r="O21" s="278"/>
      <c r="P21" s="278"/>
      <c r="Q21" s="278"/>
      <c r="R21" s="218">
        <f>IF(R22=0,0,R22)</f>
        <v>1</v>
      </c>
      <c r="S21" s="278"/>
    </row>
    <row r="22" spans="1:19" s="13" customFormat="1" ht="15">
      <c r="A22" s="134" t="s">
        <v>95</v>
      </c>
      <c r="B22" s="71"/>
      <c r="C22" s="123"/>
      <c r="D22" s="110"/>
      <c r="E22" s="110"/>
      <c r="F22" s="136">
        <f>SUM(F23:F28)</f>
        <v>-225</v>
      </c>
      <c r="G22" s="53"/>
      <c r="H22" s="53"/>
      <c r="I22" s="136">
        <f>SUM(I23:I28)</f>
        <v>-218</v>
      </c>
      <c r="J22" s="279"/>
      <c r="K22" s="279"/>
      <c r="L22" s="279"/>
      <c r="M22" s="279"/>
      <c r="N22" s="279"/>
      <c r="O22" s="279"/>
      <c r="P22" s="279"/>
      <c r="Q22" s="279"/>
      <c r="R22" s="218">
        <f aca="true" t="shared" si="0" ref="R22:R28">IF(AND(F22=0,I22=0),0,1)</f>
        <v>1</v>
      </c>
      <c r="S22" s="279"/>
    </row>
    <row r="23" spans="1:19" s="13" customFormat="1" ht="15" customHeight="1">
      <c r="A23" s="60" t="s">
        <v>122</v>
      </c>
      <c r="B23" s="60"/>
      <c r="C23" s="106" t="str">
        <f aca="true" t="shared" si="1" ref="C23:C28">IF(AND(F23=0,I23=0),"",CONCATENATE("2.2.",D23,"."))</f>
        <v>2.2.1.</v>
      </c>
      <c r="D23" s="108">
        <f>IF(AND(F23=0,I23=0),0,MAX(D$22:D22)+1)</f>
        <v>1</v>
      </c>
      <c r="E23" s="108"/>
      <c r="F23" s="117">
        <v>-4</v>
      </c>
      <c r="G23" s="116"/>
      <c r="H23" s="116"/>
      <c r="I23" s="117">
        <v>-1</v>
      </c>
      <c r="J23" s="280"/>
      <c r="K23" s="280"/>
      <c r="L23" s="280"/>
      <c r="M23" s="280"/>
      <c r="N23" s="280"/>
      <c r="O23" s="280"/>
      <c r="P23" s="280"/>
      <c r="Q23" s="280"/>
      <c r="R23" s="218">
        <f t="shared" si="0"/>
        <v>1</v>
      </c>
      <c r="S23" s="280"/>
    </row>
    <row r="24" spans="1:19" s="13" customFormat="1" ht="15" customHeight="1">
      <c r="A24" s="60" t="s">
        <v>83</v>
      </c>
      <c r="B24" s="60"/>
      <c r="C24" s="106" t="str">
        <f t="shared" si="1"/>
        <v>2.2.2.</v>
      </c>
      <c r="D24" s="108">
        <f>IF(AND(F24=0,I24=0),0,MAX(D$22:D23)+1)</f>
        <v>2</v>
      </c>
      <c r="E24" s="108"/>
      <c r="F24" s="117">
        <v>-46</v>
      </c>
      <c r="G24" s="116"/>
      <c r="H24" s="116"/>
      <c r="I24" s="117">
        <v>-66</v>
      </c>
      <c r="J24" s="280"/>
      <c r="K24" s="280"/>
      <c r="L24" s="280"/>
      <c r="M24" s="280"/>
      <c r="N24" s="280"/>
      <c r="O24" s="280"/>
      <c r="P24" s="280"/>
      <c r="Q24" s="280"/>
      <c r="R24" s="218">
        <f t="shared" si="0"/>
        <v>1</v>
      </c>
      <c r="S24" s="280"/>
    </row>
    <row r="25" spans="1:19" s="13" customFormat="1" ht="15" customHeight="1">
      <c r="A25" s="60" t="s">
        <v>84</v>
      </c>
      <c r="B25" s="60"/>
      <c r="C25" s="106" t="str">
        <f t="shared" si="1"/>
        <v>2.2.3.</v>
      </c>
      <c r="D25" s="108">
        <f>IF(AND(F25=0,I25=0),0,MAX(D$22:D24)+1)</f>
        <v>3</v>
      </c>
      <c r="E25" s="108"/>
      <c r="F25" s="117">
        <v>-4</v>
      </c>
      <c r="G25" s="116"/>
      <c r="H25" s="116"/>
      <c r="I25" s="117"/>
      <c r="J25" s="280"/>
      <c r="K25" s="280"/>
      <c r="L25" s="280"/>
      <c r="M25" s="280"/>
      <c r="N25" s="280"/>
      <c r="O25" s="280"/>
      <c r="P25" s="280"/>
      <c r="Q25" s="280"/>
      <c r="R25" s="218">
        <f t="shared" si="0"/>
        <v>1</v>
      </c>
      <c r="S25" s="280"/>
    </row>
    <row r="26" spans="1:19" s="13" customFormat="1" ht="15" customHeight="1">
      <c r="A26" s="60" t="s">
        <v>166</v>
      </c>
      <c r="B26" s="60"/>
      <c r="C26" s="106" t="str">
        <f t="shared" si="1"/>
        <v>2.2.4.</v>
      </c>
      <c r="D26" s="108">
        <f>IF(AND(F26=0,I26=0),0,MAX(D$22:D25)+1)</f>
        <v>4</v>
      </c>
      <c r="E26" s="108"/>
      <c r="F26" s="117">
        <v>-164</v>
      </c>
      <c r="G26" s="116"/>
      <c r="H26" s="116"/>
      <c r="I26" s="117">
        <v>-151</v>
      </c>
      <c r="J26" s="280"/>
      <c r="K26" s="280"/>
      <c r="L26" s="280"/>
      <c r="M26" s="280"/>
      <c r="N26" s="280"/>
      <c r="O26" s="280"/>
      <c r="P26" s="280"/>
      <c r="Q26" s="280"/>
      <c r="R26" s="218">
        <f t="shared" si="0"/>
        <v>1</v>
      </c>
      <c r="S26" s="280"/>
    </row>
    <row r="27" spans="1:19" s="13" customFormat="1" ht="15" customHeight="1" hidden="1">
      <c r="A27" s="60" t="s">
        <v>134</v>
      </c>
      <c r="B27" s="60"/>
      <c r="C27" s="106">
        <f t="shared" si="1"/>
      </c>
      <c r="D27" s="108">
        <f>IF(AND(F27=0,I27=0),0,MAX(D$22:D26)+1)</f>
        <v>0</v>
      </c>
      <c r="E27" s="108"/>
      <c r="F27" s="117"/>
      <c r="G27" s="116"/>
      <c r="H27" s="116"/>
      <c r="I27" s="117"/>
      <c r="J27" s="280"/>
      <c r="K27" s="280"/>
      <c r="L27" s="280"/>
      <c r="M27" s="280"/>
      <c r="N27" s="280"/>
      <c r="O27" s="280"/>
      <c r="P27" s="280"/>
      <c r="Q27" s="280"/>
      <c r="R27" s="218">
        <f t="shared" si="0"/>
        <v>0</v>
      </c>
      <c r="S27" s="280"/>
    </row>
    <row r="28" spans="1:19" s="13" customFormat="1" ht="15" customHeight="1">
      <c r="A28" s="60" t="s">
        <v>85</v>
      </c>
      <c r="B28" s="60"/>
      <c r="C28" s="106" t="str">
        <f t="shared" si="1"/>
        <v>2.2.5.</v>
      </c>
      <c r="D28" s="108">
        <f>IF(AND(F28=0,I28=0),0,MAX(D$22:D27)+1)</f>
        <v>5</v>
      </c>
      <c r="E28" s="108"/>
      <c r="F28" s="117">
        <v>-7</v>
      </c>
      <c r="G28" s="116"/>
      <c r="H28" s="116"/>
      <c r="I28" s="117"/>
      <c r="J28" s="280"/>
      <c r="K28" s="280"/>
      <c r="L28" s="280"/>
      <c r="M28" s="280"/>
      <c r="N28" s="280"/>
      <c r="O28" s="280"/>
      <c r="P28" s="280"/>
      <c r="Q28" s="280"/>
      <c r="R28" s="218">
        <f t="shared" si="0"/>
        <v>1</v>
      </c>
      <c r="S28" s="280"/>
    </row>
    <row r="29" spans="1:19" s="13" customFormat="1" ht="6.75" customHeight="1" hidden="1">
      <c r="A29" s="60"/>
      <c r="B29" s="60"/>
      <c r="C29" s="58"/>
      <c r="D29" s="109"/>
      <c r="E29" s="109"/>
      <c r="F29" s="138"/>
      <c r="G29" s="53"/>
      <c r="H29" s="53"/>
      <c r="I29" s="138"/>
      <c r="J29" s="281"/>
      <c r="K29" s="281"/>
      <c r="L29" s="281"/>
      <c r="M29" s="281"/>
      <c r="N29" s="281"/>
      <c r="O29" s="281"/>
      <c r="P29" s="281"/>
      <c r="Q29" s="281"/>
      <c r="R29" s="218">
        <f>IF(R30=0,0,R30)</f>
        <v>0</v>
      </c>
      <c r="S29" s="281"/>
    </row>
    <row r="30" spans="1:19" s="13" customFormat="1" ht="15" hidden="1">
      <c r="A30" s="134" t="s">
        <v>96</v>
      </c>
      <c r="B30" s="71"/>
      <c r="C30" s="163">
        <f>IF(AND(F30=0,I30=0),"",CONCATENATE("2.2.",D30,"."))</f>
      </c>
      <c r="D30" s="108">
        <f>IF(AND(F30=0,I30=0),0,MAX(D$22:D29)+1)</f>
        <v>0</v>
      </c>
      <c r="E30" s="108"/>
      <c r="F30" s="136">
        <f>SUM(F31:F34)</f>
        <v>0</v>
      </c>
      <c r="G30" s="53"/>
      <c r="H30" s="53"/>
      <c r="I30" s="136">
        <f>SUM(I31:I34)</f>
        <v>0</v>
      </c>
      <c r="J30" s="279"/>
      <c r="K30" s="279"/>
      <c r="L30" s="279"/>
      <c r="M30" s="279"/>
      <c r="N30" s="279"/>
      <c r="O30" s="279"/>
      <c r="P30" s="279"/>
      <c r="Q30" s="279"/>
      <c r="R30" s="218">
        <f>IF(AND(F30=0,I30=0),0,1)</f>
        <v>0</v>
      </c>
      <c r="S30" s="279"/>
    </row>
    <row r="31" spans="1:19" s="13" customFormat="1" ht="15" customHeight="1" hidden="1">
      <c r="A31" s="60" t="s">
        <v>86</v>
      </c>
      <c r="B31" s="60"/>
      <c r="C31" s="58"/>
      <c r="D31" s="109"/>
      <c r="E31" s="109"/>
      <c r="F31" s="117"/>
      <c r="G31" s="116"/>
      <c r="H31" s="116"/>
      <c r="I31" s="117"/>
      <c r="J31" s="280"/>
      <c r="K31" s="280"/>
      <c r="L31" s="280"/>
      <c r="M31" s="280"/>
      <c r="N31" s="280"/>
      <c r="O31" s="280"/>
      <c r="P31" s="280"/>
      <c r="Q31" s="280"/>
      <c r="R31" s="218">
        <f>IF(AND(F31=0,I31=0),0,1)</f>
        <v>0</v>
      </c>
      <c r="S31" s="280"/>
    </row>
    <row r="32" spans="1:19" s="13" customFormat="1" ht="15" customHeight="1" hidden="1">
      <c r="A32" s="80" t="s">
        <v>135</v>
      </c>
      <c r="B32" s="80"/>
      <c r="C32" s="61"/>
      <c r="D32" s="147"/>
      <c r="E32" s="147"/>
      <c r="F32" s="117"/>
      <c r="G32" s="116"/>
      <c r="H32" s="116"/>
      <c r="I32" s="117"/>
      <c r="J32" s="280"/>
      <c r="K32" s="280"/>
      <c r="L32" s="280"/>
      <c r="M32" s="280"/>
      <c r="N32" s="280"/>
      <c r="O32" s="280"/>
      <c r="P32" s="280"/>
      <c r="Q32" s="280"/>
      <c r="R32" s="218">
        <f>IF(AND(F32=0,I32=0),0,1)</f>
        <v>0</v>
      </c>
      <c r="S32" s="280"/>
    </row>
    <row r="33" spans="1:19" s="13" customFormat="1" ht="28.5" customHeight="1" hidden="1">
      <c r="A33" s="80" t="s">
        <v>121</v>
      </c>
      <c r="B33" s="80"/>
      <c r="C33" s="61"/>
      <c r="D33" s="147"/>
      <c r="E33" s="147"/>
      <c r="F33" s="117"/>
      <c r="G33" s="116"/>
      <c r="H33" s="116"/>
      <c r="I33" s="117"/>
      <c r="J33" s="280"/>
      <c r="K33" s="280"/>
      <c r="L33" s="280"/>
      <c r="M33" s="280"/>
      <c r="N33" s="280"/>
      <c r="O33" s="280"/>
      <c r="P33" s="280"/>
      <c r="Q33" s="280"/>
      <c r="R33" s="218">
        <f>IF(AND(F33=0,I33=0),0,1)</f>
        <v>0</v>
      </c>
      <c r="S33" s="280"/>
    </row>
    <row r="34" spans="1:19" s="13" customFormat="1" ht="15" customHeight="1" hidden="1">
      <c r="A34" s="80" t="s">
        <v>114</v>
      </c>
      <c r="B34" s="80"/>
      <c r="C34" s="61"/>
      <c r="D34" s="147"/>
      <c r="E34" s="147"/>
      <c r="F34" s="117"/>
      <c r="G34" s="116"/>
      <c r="H34" s="116"/>
      <c r="I34" s="117"/>
      <c r="J34" s="280"/>
      <c r="K34" s="280"/>
      <c r="L34" s="280"/>
      <c r="M34" s="280"/>
      <c r="N34" s="280"/>
      <c r="O34" s="280"/>
      <c r="P34" s="280"/>
      <c r="Q34" s="280"/>
      <c r="R34" s="218">
        <f>IF(AND(F34=0,I34=0),0,1)</f>
        <v>0</v>
      </c>
      <c r="S34" s="280"/>
    </row>
    <row r="35" spans="1:19" s="13" customFormat="1" ht="6.75" customHeight="1">
      <c r="A35" s="60"/>
      <c r="B35" s="60"/>
      <c r="C35" s="53"/>
      <c r="D35" s="110"/>
      <c r="E35" s="110"/>
      <c r="F35" s="138"/>
      <c r="G35" s="137"/>
      <c r="H35" s="137"/>
      <c r="I35" s="138"/>
      <c r="J35" s="281"/>
      <c r="K35" s="281"/>
      <c r="L35" s="281"/>
      <c r="M35" s="281"/>
      <c r="N35" s="281"/>
      <c r="O35" s="281"/>
      <c r="P35" s="281"/>
      <c r="Q35" s="281"/>
      <c r="R35" s="218">
        <f>IF(R36=0,0,R36)</f>
        <v>1</v>
      </c>
      <c r="S35" s="281"/>
    </row>
    <row r="36" spans="1:19" s="13" customFormat="1" ht="15">
      <c r="A36" s="134" t="s">
        <v>136</v>
      </c>
      <c r="B36" s="71"/>
      <c r="C36" s="163" t="str">
        <f>IF(AND(F36=0,I36=0),"",CONCATENATE("2.2.",D36,"."))</f>
        <v>2.2.6.</v>
      </c>
      <c r="D36" s="108">
        <f>IF(AND(F36=0,I36=0),0,MAX(D$22:D35)+1)</f>
        <v>6</v>
      </c>
      <c r="E36" s="108"/>
      <c r="F36" s="115">
        <v>-43</v>
      </c>
      <c r="G36" s="116"/>
      <c r="H36" s="116"/>
      <c r="I36" s="115">
        <v>-50</v>
      </c>
      <c r="J36" s="282"/>
      <c r="K36" s="282"/>
      <c r="L36" s="282"/>
      <c r="M36" s="282"/>
      <c r="N36" s="282"/>
      <c r="O36" s="282"/>
      <c r="P36" s="282"/>
      <c r="Q36" s="282"/>
      <c r="R36" s="218">
        <f>IF(AND(F36=0,I36=0),0,1)</f>
        <v>1</v>
      </c>
      <c r="S36" s="282"/>
    </row>
    <row r="37" spans="1:19" s="13" customFormat="1" ht="6.75" customHeight="1">
      <c r="A37" s="71"/>
      <c r="B37" s="71"/>
      <c r="C37" s="53"/>
      <c r="D37" s="110"/>
      <c r="E37" s="110"/>
      <c r="F37" s="138"/>
      <c r="G37" s="137"/>
      <c r="H37" s="137"/>
      <c r="I37" s="148"/>
      <c r="J37" s="279"/>
      <c r="K37" s="279"/>
      <c r="L37" s="279"/>
      <c r="M37" s="279"/>
      <c r="N37" s="279"/>
      <c r="O37" s="279"/>
      <c r="P37" s="279"/>
      <c r="Q37" s="279"/>
      <c r="R37" s="218">
        <f>IF(R38=0,0,R38)</f>
        <v>2</v>
      </c>
      <c r="S37" s="279"/>
    </row>
    <row r="38" spans="1:19" s="13" customFormat="1" ht="15" customHeight="1" thickBot="1">
      <c r="A38" s="143" t="s">
        <v>142</v>
      </c>
      <c r="B38" s="47"/>
      <c r="C38" s="144"/>
      <c r="D38" s="110"/>
      <c r="E38" s="110"/>
      <c r="F38" s="145">
        <f>F22+F30+F36</f>
        <v>-268</v>
      </c>
      <c r="G38" s="137"/>
      <c r="H38" s="137"/>
      <c r="I38" s="145">
        <f>I22+I30+I36</f>
        <v>-268</v>
      </c>
      <c r="J38" s="279"/>
      <c r="K38" s="279"/>
      <c r="L38" s="279"/>
      <c r="M38" s="279"/>
      <c r="N38" s="279"/>
      <c r="O38" s="279"/>
      <c r="P38" s="279"/>
      <c r="Q38" s="279"/>
      <c r="R38" s="218">
        <v>2</v>
      </c>
      <c r="S38" s="279"/>
    </row>
    <row r="39" spans="1:19" s="13" customFormat="1" ht="6.75" customHeight="1" hidden="1" thickTop="1">
      <c r="A39" s="71"/>
      <c r="B39" s="71"/>
      <c r="C39" s="53"/>
      <c r="D39" s="110"/>
      <c r="E39" s="110"/>
      <c r="F39" s="138"/>
      <c r="G39" s="137"/>
      <c r="H39" s="137"/>
      <c r="I39" s="148"/>
      <c r="J39" s="279"/>
      <c r="K39" s="279"/>
      <c r="L39" s="279"/>
      <c r="M39" s="279"/>
      <c r="N39" s="279"/>
      <c r="O39" s="279"/>
      <c r="P39" s="279"/>
      <c r="Q39" s="279"/>
      <c r="R39" s="218">
        <f>IF(R40=0,0,R40)</f>
        <v>0</v>
      </c>
      <c r="S39" s="279"/>
    </row>
    <row r="40" spans="1:19" s="13" customFormat="1" ht="15.75" hidden="1" thickTop="1">
      <c r="A40" s="149" t="s">
        <v>68</v>
      </c>
      <c r="B40" s="71"/>
      <c r="C40" s="163">
        <f>IF(AND(F40=0,I40=0),"",CONCATENATE("2.2.",D40,"."))</f>
      </c>
      <c r="D40" s="108">
        <f>IF(AND(F40=0,I40=0),0,MAX(D$22:D39)+1)</f>
        <v>0</v>
      </c>
      <c r="E40" s="108"/>
      <c r="F40" s="115"/>
      <c r="G40" s="116"/>
      <c r="H40" s="116"/>
      <c r="I40" s="115"/>
      <c r="J40" s="282"/>
      <c r="K40" s="282"/>
      <c r="L40" s="282"/>
      <c r="M40" s="282"/>
      <c r="N40" s="282"/>
      <c r="O40" s="282"/>
      <c r="P40" s="282"/>
      <c r="Q40" s="282"/>
      <c r="R40" s="218">
        <f>IF(AND(F40=0,I40=0),0,1)</f>
        <v>0</v>
      </c>
      <c r="S40" s="282"/>
    </row>
    <row r="41" spans="1:19" s="13" customFormat="1" ht="6.75" customHeight="1" hidden="1" thickTop="1">
      <c r="A41" s="71"/>
      <c r="B41" s="71"/>
      <c r="C41" s="53"/>
      <c r="D41" s="110"/>
      <c r="E41" s="110"/>
      <c r="F41" s="138"/>
      <c r="G41" s="137"/>
      <c r="H41" s="137"/>
      <c r="I41" s="148"/>
      <c r="J41" s="279"/>
      <c r="K41" s="279"/>
      <c r="L41" s="279"/>
      <c r="M41" s="279"/>
      <c r="N41" s="279"/>
      <c r="O41" s="279"/>
      <c r="P41" s="279"/>
      <c r="Q41" s="279"/>
      <c r="R41" s="218">
        <f>IF(R42=0,0,R42)</f>
        <v>0</v>
      </c>
      <c r="S41" s="279"/>
    </row>
    <row r="42" spans="1:19" s="13" customFormat="1" ht="15.75" hidden="1" thickTop="1">
      <c r="A42" s="149" t="s">
        <v>79</v>
      </c>
      <c r="B42" s="71"/>
      <c r="C42" s="163">
        <f>IF(AND(F42=0,I42=0),"",CONCATENATE("2.2.",D42,"."))</f>
      </c>
      <c r="D42" s="108">
        <f>IF(AND(F42=0,I42=0),0,MAX(D$22:D41)+1)</f>
        <v>0</v>
      </c>
      <c r="E42" s="108"/>
      <c r="F42" s="115"/>
      <c r="G42" s="116"/>
      <c r="H42" s="116"/>
      <c r="I42" s="115"/>
      <c r="J42" s="282"/>
      <c r="K42" s="282"/>
      <c r="L42" s="282"/>
      <c r="M42" s="282"/>
      <c r="N42" s="282"/>
      <c r="O42" s="282"/>
      <c r="P42" s="282"/>
      <c r="Q42" s="282"/>
      <c r="R42" s="218">
        <f>IF(AND(F42=0,I42=0),0,1)</f>
        <v>0</v>
      </c>
      <c r="S42" s="282"/>
    </row>
    <row r="43" spans="1:19" s="13" customFormat="1" ht="6.75" customHeight="1" thickTop="1">
      <c r="A43" s="71"/>
      <c r="B43" s="71"/>
      <c r="C43" s="53"/>
      <c r="D43" s="110"/>
      <c r="E43" s="110"/>
      <c r="F43" s="138"/>
      <c r="G43" s="137"/>
      <c r="H43" s="137"/>
      <c r="I43" s="148"/>
      <c r="J43" s="279"/>
      <c r="K43" s="279"/>
      <c r="L43" s="279"/>
      <c r="M43" s="279"/>
      <c r="N43" s="279"/>
      <c r="O43" s="279"/>
      <c r="P43" s="279"/>
      <c r="Q43" s="279"/>
      <c r="R43" s="218">
        <f>IF(R44=0,0,R44)</f>
        <v>1</v>
      </c>
      <c r="S43" s="279"/>
    </row>
    <row r="44" spans="1:19" s="13" customFormat="1" ht="15" customHeight="1" thickBot="1">
      <c r="A44" s="143" t="s">
        <v>139</v>
      </c>
      <c r="B44" s="47"/>
      <c r="C44" s="144"/>
      <c r="D44" s="110"/>
      <c r="E44" s="110"/>
      <c r="F44" s="145">
        <f>F18+F38+F40+F42</f>
        <v>-29</v>
      </c>
      <c r="G44" s="137"/>
      <c r="H44" s="137"/>
      <c r="I44" s="145">
        <f>I18+I38+I40+I42</f>
        <v>-253</v>
      </c>
      <c r="J44" s="279"/>
      <c r="K44" s="279"/>
      <c r="L44" s="279"/>
      <c r="M44" s="279"/>
      <c r="N44" s="279"/>
      <c r="O44" s="279"/>
      <c r="P44" s="279"/>
      <c r="Q44" s="279"/>
      <c r="R44" s="218">
        <f>IF(AND(F44=0,I44=0),0,1)</f>
        <v>1</v>
      </c>
      <c r="S44" s="279"/>
    </row>
    <row r="45" spans="1:19" s="13" customFormat="1" ht="6.75" customHeight="1" hidden="1" thickTop="1">
      <c r="A45" s="71"/>
      <c r="B45" s="71"/>
      <c r="C45" s="53"/>
      <c r="D45" s="110"/>
      <c r="E45" s="110"/>
      <c r="F45" s="53"/>
      <c r="G45" s="137"/>
      <c r="H45" s="137"/>
      <c r="I45" s="53"/>
      <c r="J45" s="76"/>
      <c r="K45" s="76"/>
      <c r="L45" s="76"/>
      <c r="M45" s="76"/>
      <c r="N45" s="76"/>
      <c r="O45" s="76"/>
      <c r="P45" s="76"/>
      <c r="Q45" s="76"/>
      <c r="R45" s="218">
        <f>IF(R46=0,0,R46)</f>
        <v>0</v>
      </c>
      <c r="S45" s="76"/>
    </row>
    <row r="46" spans="1:19" s="13" customFormat="1" ht="15" customHeight="1" hidden="1" thickTop="1">
      <c r="A46" s="134" t="s">
        <v>120</v>
      </c>
      <c r="B46" s="71"/>
      <c r="C46" s="135">
        <f>IF(AND(F46=0,I46=0),"",CONCATENATE("2.2.",D46,"."))</f>
      </c>
      <c r="D46" s="109">
        <f>IF(AND(F46=0,I46=0),0,MAX(D$22:D45)+1)</f>
        <v>0</v>
      </c>
      <c r="E46" s="109"/>
      <c r="F46" s="136">
        <f>SUM(F47:F48)</f>
        <v>0</v>
      </c>
      <c r="G46" s="137"/>
      <c r="H46" s="137"/>
      <c r="I46" s="136">
        <f>SUM(I47:I48)</f>
        <v>0</v>
      </c>
      <c r="J46" s="279"/>
      <c r="K46" s="279"/>
      <c r="L46" s="279"/>
      <c r="M46" s="279"/>
      <c r="N46" s="279"/>
      <c r="O46" s="279"/>
      <c r="P46" s="279"/>
      <c r="Q46" s="279"/>
      <c r="R46" s="218">
        <f>IF(AND(F46=0,I46=0,R47=0,R48=0),0,1)</f>
        <v>0</v>
      </c>
      <c r="S46" s="279"/>
    </row>
    <row r="47" spans="1:19" s="13" customFormat="1" ht="15" customHeight="1" hidden="1" thickTop="1">
      <c r="A47" s="150" t="s">
        <v>119</v>
      </c>
      <c r="B47" s="150"/>
      <c r="C47" s="53"/>
      <c r="D47" s="110"/>
      <c r="E47" s="110"/>
      <c r="F47" s="117"/>
      <c r="G47" s="116"/>
      <c r="H47" s="116"/>
      <c r="I47" s="117"/>
      <c r="J47" s="280"/>
      <c r="K47" s="280"/>
      <c r="L47" s="280"/>
      <c r="M47" s="280"/>
      <c r="N47" s="280"/>
      <c r="O47" s="280"/>
      <c r="P47" s="280"/>
      <c r="Q47" s="280"/>
      <c r="R47" s="218">
        <f>IF(AND(F47=0,I47=0),0,1)</f>
        <v>0</v>
      </c>
      <c r="S47" s="280"/>
    </row>
    <row r="48" spans="1:19" s="13" customFormat="1" ht="15" customHeight="1" hidden="1" thickTop="1">
      <c r="A48" s="150" t="s">
        <v>140</v>
      </c>
      <c r="B48" s="150"/>
      <c r="C48" s="53"/>
      <c r="D48" s="110"/>
      <c r="E48" s="110"/>
      <c r="F48" s="117"/>
      <c r="G48" s="116"/>
      <c r="H48" s="116"/>
      <c r="I48" s="117"/>
      <c r="J48" s="280"/>
      <c r="K48" s="280"/>
      <c r="L48" s="280"/>
      <c r="M48" s="280"/>
      <c r="N48" s="280"/>
      <c r="O48" s="280"/>
      <c r="P48" s="280"/>
      <c r="Q48" s="280"/>
      <c r="R48" s="218">
        <f>IF(AND(F48=0,I48=0),0,1)</f>
        <v>0</v>
      </c>
      <c r="S48" s="280"/>
    </row>
    <row r="49" spans="1:19" s="13" customFormat="1" ht="6.75" customHeight="1" thickTop="1">
      <c r="A49" s="60"/>
      <c r="B49" s="60"/>
      <c r="C49" s="53"/>
      <c r="D49" s="110"/>
      <c r="E49" s="110"/>
      <c r="F49" s="61"/>
      <c r="G49" s="137"/>
      <c r="H49" s="137"/>
      <c r="I49" s="61"/>
      <c r="J49" s="283"/>
      <c r="K49" s="283"/>
      <c r="L49" s="283"/>
      <c r="M49" s="283"/>
      <c r="N49" s="283"/>
      <c r="O49" s="283"/>
      <c r="P49" s="283"/>
      <c r="Q49" s="283"/>
      <c r="R49" s="218">
        <f>IF(R50=0,0,R50)</f>
        <v>1</v>
      </c>
      <c r="S49" s="283"/>
    </row>
    <row r="50" spans="1:19" s="13" customFormat="1" ht="15.75" thickBot="1">
      <c r="A50" s="143" t="s">
        <v>141</v>
      </c>
      <c r="B50" s="47"/>
      <c r="C50" s="144"/>
      <c r="D50" s="110"/>
      <c r="E50" s="110"/>
      <c r="F50" s="145">
        <f>F44+F46</f>
        <v>-29</v>
      </c>
      <c r="G50" s="137"/>
      <c r="H50" s="137"/>
      <c r="I50" s="145">
        <f>I44+I46</f>
        <v>-253</v>
      </c>
      <c r="J50" s="279"/>
      <c r="K50" s="279"/>
      <c r="L50" s="279"/>
      <c r="M50" s="279"/>
      <c r="N50" s="279"/>
      <c r="O50" s="279"/>
      <c r="P50" s="279"/>
      <c r="Q50" s="279"/>
      <c r="R50" s="218">
        <f>IF(AND(F50=0,I50=0),0,1)</f>
        <v>1</v>
      </c>
      <c r="S50" s="279"/>
    </row>
    <row r="51" spans="1:19" s="13" customFormat="1" ht="16.5" hidden="1" thickBot="1" thickTop="1">
      <c r="A51" s="143" t="s">
        <v>13</v>
      </c>
      <c r="B51" s="47"/>
      <c r="C51" s="144"/>
      <c r="D51" s="110"/>
      <c r="E51" s="110"/>
      <c r="F51" s="219">
        <f>F50-F52</f>
        <v>-29</v>
      </c>
      <c r="G51" s="137"/>
      <c r="H51" s="137"/>
      <c r="I51" s="219">
        <f>I50-I52</f>
        <v>-253</v>
      </c>
      <c r="J51" s="284"/>
      <c r="K51" s="284"/>
      <c r="L51" s="284"/>
      <c r="M51" s="284"/>
      <c r="N51" s="284"/>
      <c r="O51" s="284"/>
      <c r="P51" s="284"/>
      <c r="Q51" s="284"/>
      <c r="R51" s="218">
        <f>IF(НАЧАЛО!O34="КК",IF(AND(F51=0,I51=0),0,1),4)</f>
        <v>4</v>
      </c>
      <c r="S51" s="284"/>
    </row>
    <row r="52" spans="1:19" s="13" customFormat="1" ht="16.5" hidden="1" thickBot="1" thickTop="1">
      <c r="A52" s="143" t="s">
        <v>14</v>
      </c>
      <c r="B52" s="47"/>
      <c r="C52" s="144"/>
      <c r="D52" s="110"/>
      <c r="E52" s="110"/>
      <c r="F52" s="341"/>
      <c r="G52" s="116"/>
      <c r="H52" s="116"/>
      <c r="I52" s="341"/>
      <c r="J52" s="279"/>
      <c r="K52" s="279"/>
      <c r="L52" s="279"/>
      <c r="M52" s="279"/>
      <c r="N52" s="279"/>
      <c r="O52" s="279"/>
      <c r="P52" s="279"/>
      <c r="Q52" s="279"/>
      <c r="R52" s="218">
        <f>IF(НАЧАЛО!O34="КК",IF(AND(F52=0,I52=0),0,1),4)</f>
        <v>4</v>
      </c>
      <c r="S52" s="279"/>
    </row>
    <row r="53" spans="1:19" s="13" customFormat="1" ht="15" customHeight="1" thickTop="1">
      <c r="A53" s="359">
        <f>IF(AND(F$53="",I$53=""),"","Разлика в резултата между ОПР и БАЛАНСА!")</f>
      </c>
      <c r="B53" s="359"/>
      <c r="C53" s="359"/>
      <c r="D53" s="151"/>
      <c r="E53" s="151"/>
      <c r="F53" s="152">
        <f>IF(F51=баланс!F66,"",ОПР!F51-баланс!F66)</f>
      </c>
      <c r="G53" s="153"/>
      <c r="H53" s="153"/>
      <c r="I53" s="152">
        <f>IF(НАЧАЛО!AB$3=1,IF(I$51=баланс!I$66,"",I51-баланс!I$66),"")</f>
      </c>
      <c r="J53" s="279"/>
      <c r="K53" s="279"/>
      <c r="L53" s="279"/>
      <c r="M53" s="279"/>
      <c r="N53" s="279"/>
      <c r="O53" s="279"/>
      <c r="P53" s="279"/>
      <c r="Q53" s="279"/>
      <c r="R53" s="218">
        <v>2</v>
      </c>
      <c r="S53" s="279"/>
    </row>
    <row r="54" spans="1:19" ht="15">
      <c r="A54" s="310" t="str">
        <f>CONCATENATE("Приложенията от страница ",НАЧАЛО!P52," до страница ",НАЧАЛО!R52," са неразделна част от финансовия отчет.")</f>
        <v>Приложенията от страница 6 до страница 35 са неразделна част от финансовия отчет.</v>
      </c>
      <c r="B54" s="310"/>
      <c r="C54" s="310"/>
      <c r="D54" s="310"/>
      <c r="E54" s="310"/>
      <c r="F54" s="310"/>
      <c r="G54" s="310"/>
      <c r="H54" s="310"/>
      <c r="I54" s="310"/>
      <c r="J54" s="285"/>
      <c r="K54" s="285"/>
      <c r="L54" s="285"/>
      <c r="M54" s="285"/>
      <c r="N54" s="285"/>
      <c r="O54" s="285"/>
      <c r="P54" s="285"/>
      <c r="Q54" s="285"/>
      <c r="R54" s="218">
        <v>2</v>
      </c>
      <c r="S54" s="285"/>
    </row>
    <row r="55" spans="1:19" ht="15">
      <c r="A55" s="358">
        <f>IF(AND(F$53="",I$53=""),"","Резултат в БАЛАНСА:")</f>
      </c>
      <c r="B55" s="358"/>
      <c r="C55" s="358"/>
      <c r="D55" s="154"/>
      <c r="E55" s="154"/>
      <c r="F55" s="155">
        <f>IF(F$51=баланс!F$66,"",баланс!F$66)</f>
      </c>
      <c r="G55" s="156"/>
      <c r="H55" s="156"/>
      <c r="I55" s="155">
        <f>IF(НАЧАЛО!AB$3=1,IF(I$51=баланс!I$66,"",баланс!I$66),"")</f>
      </c>
      <c r="J55" s="279"/>
      <c r="K55" s="279"/>
      <c r="L55" s="279"/>
      <c r="M55" s="279"/>
      <c r="N55" s="279"/>
      <c r="O55" s="279"/>
      <c r="P55" s="279"/>
      <c r="Q55" s="279"/>
      <c r="R55" s="218">
        <v>2</v>
      </c>
      <c r="S55" s="279"/>
    </row>
    <row r="56" spans="1:19" ht="15">
      <c r="A56" s="95" t="str">
        <f>НАЧАЛО!$A$44</f>
        <v>Представляващ:</v>
      </c>
      <c r="B56" s="157"/>
      <c r="C56" s="158"/>
      <c r="D56" s="158"/>
      <c r="E56" s="158"/>
      <c r="F56" s="101"/>
      <c r="G56" s="101"/>
      <c r="H56" s="101"/>
      <c r="I56" s="101"/>
      <c r="J56" s="286"/>
      <c r="K56" s="286"/>
      <c r="L56" s="286"/>
      <c r="M56" s="286"/>
      <c r="N56" s="286"/>
      <c r="O56" s="286"/>
      <c r="P56" s="286"/>
      <c r="Q56" s="286"/>
      <c r="R56" s="218">
        <v>2</v>
      </c>
      <c r="S56" s="286"/>
    </row>
    <row r="57" spans="1:19" ht="15">
      <c r="A57" s="99" t="str">
        <f>НАЧАЛО!$A$46</f>
        <v>Явор Хайтов, Красимир Сланчев</v>
      </c>
      <c r="B57" s="159"/>
      <c r="C57" s="101"/>
      <c r="D57" s="101"/>
      <c r="E57" s="101"/>
      <c r="F57" s="101"/>
      <c r="G57" s="101"/>
      <c r="H57" s="101"/>
      <c r="I57" s="101"/>
      <c r="J57" s="286"/>
      <c r="K57" s="286"/>
      <c r="L57" s="286"/>
      <c r="M57" s="286"/>
      <c r="N57" s="286"/>
      <c r="O57" s="286"/>
      <c r="P57" s="286"/>
      <c r="Q57" s="286"/>
      <c r="R57" s="218">
        <v>2</v>
      </c>
      <c r="S57" s="286"/>
    </row>
    <row r="58" spans="1:19" ht="12.75">
      <c r="A58" s="101"/>
      <c r="B58" s="101"/>
      <c r="C58" s="101"/>
      <c r="D58" s="101"/>
      <c r="E58" s="101"/>
      <c r="F58" s="101"/>
      <c r="G58" s="101"/>
      <c r="H58" s="101"/>
      <c r="I58" s="101"/>
      <c r="J58" s="286"/>
      <c r="K58" s="286"/>
      <c r="L58" s="286"/>
      <c r="M58" s="286"/>
      <c r="N58" s="286"/>
      <c r="O58" s="286"/>
      <c r="P58" s="286"/>
      <c r="Q58" s="286"/>
      <c r="R58" s="218">
        <v>2</v>
      </c>
      <c r="S58" s="286"/>
    </row>
    <row r="59" spans="1:19" ht="15">
      <c r="A59" s="100" t="str">
        <f>НАЧАЛО!$F$44</f>
        <v>Съставител:</v>
      </c>
      <c r="B59" s="100"/>
      <c r="C59" s="160"/>
      <c r="D59" s="160"/>
      <c r="E59" s="160"/>
      <c r="F59" s="161"/>
      <c r="G59" s="101"/>
      <c r="H59" s="101"/>
      <c r="I59" s="161"/>
      <c r="J59" s="275"/>
      <c r="K59" s="275"/>
      <c r="L59" s="275"/>
      <c r="M59" s="275"/>
      <c r="N59" s="275"/>
      <c r="O59" s="275"/>
      <c r="P59" s="275"/>
      <c r="Q59" s="275"/>
      <c r="R59" s="218">
        <v>2</v>
      </c>
      <c r="S59" s="275"/>
    </row>
    <row r="60" spans="1:19" ht="15">
      <c r="A60" s="103" t="str">
        <f>НАЧАЛО!$F$46</f>
        <v>Ралица Кайджиева</v>
      </c>
      <c r="B60" s="102"/>
      <c r="C60" s="160"/>
      <c r="D60" s="160"/>
      <c r="E60" s="160"/>
      <c r="F60" s="161"/>
      <c r="G60" s="101"/>
      <c r="H60" s="101"/>
      <c r="I60" s="161"/>
      <c r="J60" s="275"/>
      <c r="K60" s="275"/>
      <c r="L60" s="275"/>
      <c r="M60" s="275"/>
      <c r="N60" s="275"/>
      <c r="O60" s="275"/>
      <c r="P60" s="275"/>
      <c r="Q60" s="275"/>
      <c r="R60" s="218">
        <v>2</v>
      </c>
      <c r="S60" s="275"/>
    </row>
    <row r="61" spans="1:19" ht="15">
      <c r="A61" s="100"/>
      <c r="B61" s="100"/>
      <c r="C61" s="160"/>
      <c r="D61" s="160"/>
      <c r="E61" s="160"/>
      <c r="F61" s="161"/>
      <c r="G61" s="101"/>
      <c r="H61" s="101"/>
      <c r="I61" s="161"/>
      <c r="J61" s="275"/>
      <c r="K61" s="275"/>
      <c r="L61" s="275"/>
      <c r="M61" s="275"/>
      <c r="N61" s="275"/>
      <c r="O61" s="275"/>
      <c r="P61" s="275"/>
      <c r="Q61" s="275"/>
      <c r="R61" s="218">
        <v>2</v>
      </c>
      <c r="S61" s="275"/>
    </row>
    <row r="62" spans="1:19" ht="15">
      <c r="A62" s="103" t="str">
        <f>НАЧАЛО!$C$49</f>
        <v>Заверил:</v>
      </c>
      <c r="B62" s="102"/>
      <c r="C62" s="160"/>
      <c r="D62" s="160"/>
      <c r="E62" s="160"/>
      <c r="F62" s="161"/>
      <c r="G62" s="101"/>
      <c r="H62" s="101"/>
      <c r="I62" s="161"/>
      <c r="J62" s="275"/>
      <c r="K62" s="275"/>
      <c r="L62" s="275"/>
      <c r="M62" s="275"/>
      <c r="N62" s="275"/>
      <c r="O62" s="275"/>
      <c r="P62" s="275"/>
      <c r="Q62" s="275"/>
      <c r="R62" s="218">
        <v>2</v>
      </c>
      <c r="S62" s="275"/>
    </row>
    <row r="63" spans="1:19" ht="15">
      <c r="A63" s="99" t="str">
        <f>НАЧАЛО!$C$51</f>
        <v>СОП „Ейч Ел Би България” ООД</v>
      </c>
      <c r="B63" s="101"/>
      <c r="C63" s="160"/>
      <c r="D63" s="160"/>
      <c r="E63" s="160"/>
      <c r="F63" s="161"/>
      <c r="G63" s="101"/>
      <c r="H63" s="101"/>
      <c r="I63" s="161"/>
      <c r="J63" s="275"/>
      <c r="K63" s="275"/>
      <c r="L63" s="275"/>
      <c r="M63" s="275"/>
      <c r="N63" s="275"/>
      <c r="O63" s="275"/>
      <c r="P63" s="275"/>
      <c r="Q63" s="275"/>
      <c r="R63" s="218">
        <v>2</v>
      </c>
      <c r="S63" s="275"/>
    </row>
    <row r="64" spans="1:19" ht="12.75" customHeight="1">
      <c r="A64" s="105"/>
      <c r="B64" s="162"/>
      <c r="C64" s="160"/>
      <c r="D64" s="160"/>
      <c r="E64" s="160"/>
      <c r="F64" s="161"/>
      <c r="G64" s="101"/>
      <c r="H64" s="101"/>
      <c r="I64" s="161"/>
      <c r="J64" s="275"/>
      <c r="K64" s="275"/>
      <c r="L64" s="275"/>
      <c r="M64" s="275"/>
      <c r="N64" s="275"/>
      <c r="O64" s="275"/>
      <c r="P64" s="275"/>
      <c r="Q64" s="275"/>
      <c r="R64" s="218">
        <v>2</v>
      </c>
      <c r="S64" s="275"/>
    </row>
    <row r="65" spans="1:19" ht="15">
      <c r="A65" s="99" t="str">
        <f>НАЧАЛО!$C$57</f>
        <v>София, 21 април 2009 г.</v>
      </c>
      <c r="B65" s="101"/>
      <c r="C65" s="160"/>
      <c r="D65" s="160"/>
      <c r="E65" s="160"/>
      <c r="F65" s="161"/>
      <c r="G65" s="101"/>
      <c r="H65" s="101"/>
      <c r="I65" s="161"/>
      <c r="J65" s="275"/>
      <c r="K65" s="275"/>
      <c r="L65" s="275"/>
      <c r="M65" s="275"/>
      <c r="N65" s="275"/>
      <c r="O65" s="275"/>
      <c r="P65" s="275"/>
      <c r="Q65" s="275"/>
      <c r="R65" s="218">
        <v>2</v>
      </c>
      <c r="S65" s="275"/>
    </row>
    <row r="66" spans="1:2" ht="15" hidden="1">
      <c r="A66" s="119"/>
      <c r="B66" s="119"/>
    </row>
    <row r="67" ht="12.75" hidden="1"/>
    <row r="68" spans="1:2" ht="15" hidden="1">
      <c r="A68" s="122"/>
      <c r="B68" s="122"/>
    </row>
  </sheetData>
  <sheetProtection password="DC9E" sheet="1" objects="1" formatRows="0"/>
  <mergeCells count="2">
    <mergeCell ref="A53:C53"/>
    <mergeCell ref="A55:C55"/>
  </mergeCells>
  <conditionalFormatting sqref="A1:I65">
    <cfRule type="expression" priority="6" dxfId="0" stopIfTrue="1">
      <formula>JJ21&lt;&gt;JK21</formula>
    </cfRule>
    <cfRule type="expression" priority="7" dxfId="0" stopIfTrue="1">
      <formula>JJ22&gt;JK22</formula>
    </cfRule>
  </conditionalFormatting>
  <conditionalFormatting sqref="A54">
    <cfRule type="expression" priority="1" dxfId="6" stopIfTrue="1">
      <formula>JJ61=JK61</formula>
    </cfRule>
  </conditionalFormatting>
  <printOptions horizontalCentered="1"/>
  <pageMargins left="0.7480314960629921" right="0.7480314960629921" top="0.4724409448818898" bottom="0.4724409448818898" header="0.3937007874015748" footer="0.1968503937007874"/>
  <pageSetup firstPageNumber="1" useFirstPageNumber="1" horizontalDpi="600" verticalDpi="600" orientation="portrait" paperSize="9" scale="90" r:id="rId2"/>
  <colBreaks count="1" manualBreakCount="1">
    <brk id="17" max="59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Y6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1.00390625" style="183" customWidth="1"/>
    <col min="2" max="2" width="1.7109375" style="179" customWidth="1"/>
    <col min="3" max="3" width="12.7109375" style="180" customWidth="1"/>
    <col min="4" max="4" width="1.7109375" style="181" customWidth="1"/>
    <col min="5" max="5" width="12.7109375" style="180" customWidth="1"/>
    <col min="6" max="17" width="1.7109375" style="180" hidden="1" customWidth="1"/>
    <col min="18" max="18" width="1.7109375" style="254" hidden="1" customWidth="1"/>
    <col min="19" max="19" width="1.7109375" style="254" customWidth="1"/>
    <col min="20" max="16384" width="9.140625" style="168" customWidth="1"/>
  </cols>
  <sheetData>
    <row r="1" spans="1:25" ht="18" customHeight="1">
      <c r="A1" s="303" t="str">
        <f>ОПР!A1:I1</f>
        <v>"Железопътна Инфраструктура - Холдингово Дружество" АД</v>
      </c>
      <c r="B1" s="303"/>
      <c r="C1" s="303"/>
      <c r="D1" s="303"/>
      <c r="E1" s="303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5">
        <v>2</v>
      </c>
      <c r="S1" s="255"/>
      <c r="T1" s="318"/>
      <c r="U1" s="318"/>
      <c r="V1" s="318"/>
      <c r="W1" s="318"/>
      <c r="X1" s="318"/>
      <c r="Y1" s="318"/>
    </row>
    <row r="2" spans="1:19" ht="15">
      <c r="A2" s="338" t="str">
        <f>НАЧАЛО!AA18</f>
        <v>ОТЧЕТ ЗА ПАРИЧНИТЕ ПОТОЦИ към 31.3.2009 година</v>
      </c>
      <c r="B2" s="338"/>
      <c r="C2" s="338"/>
      <c r="D2" s="338"/>
      <c r="E2" s="338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5">
        <v>2</v>
      </c>
      <c r="S2" s="255"/>
    </row>
    <row r="3" spans="1:19" ht="15" customHeight="1">
      <c r="A3" s="184"/>
      <c r="B3" s="185"/>
      <c r="C3" s="169" t="str">
        <f>НАЧАЛО!AD1&amp;" г."</f>
        <v>31.3.2009 г.</v>
      </c>
      <c r="D3" s="186"/>
      <c r="E3" s="169" t="str">
        <f>НАЧАЛО!AF1&amp;" г."</f>
        <v>31.3.2008 г.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255">
        <v>2</v>
      </c>
      <c r="S3" s="255"/>
    </row>
    <row r="4" spans="1:19" ht="15">
      <c r="A4" s="184"/>
      <c r="B4" s="185"/>
      <c r="C4" s="187" t="s">
        <v>94</v>
      </c>
      <c r="D4" s="188"/>
      <c r="E4" s="187" t="s">
        <v>94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257">
        <v>2</v>
      </c>
      <c r="S4" s="257"/>
    </row>
    <row r="5" spans="1:19" ht="10.5" customHeight="1">
      <c r="A5" s="184"/>
      <c r="B5" s="185"/>
      <c r="C5" s="187"/>
      <c r="D5" s="188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256">
        <f>IF(R6=0,0,R6)</f>
        <v>1</v>
      </c>
      <c r="S5" s="256"/>
    </row>
    <row r="6" spans="1:19" ht="15">
      <c r="A6" s="189" t="s">
        <v>154</v>
      </c>
      <c r="B6" s="190"/>
      <c r="C6" s="191"/>
      <c r="D6" s="192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256">
        <f>IF(R15=0,0,1)</f>
        <v>1</v>
      </c>
      <c r="S6" s="256"/>
    </row>
    <row r="7" spans="1:19" ht="15" hidden="1">
      <c r="A7" s="173" t="s">
        <v>16</v>
      </c>
      <c r="B7" s="170"/>
      <c r="C7" s="171"/>
      <c r="D7" s="172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256">
        <f>IF(AND(C7=0,E7=0),0,1)</f>
        <v>0</v>
      </c>
      <c r="S7" s="256"/>
    </row>
    <row r="8" spans="1:19" ht="15">
      <c r="A8" s="173" t="s">
        <v>17</v>
      </c>
      <c r="B8" s="170"/>
      <c r="C8" s="171">
        <v>-29</v>
      </c>
      <c r="D8" s="172"/>
      <c r="E8" s="171">
        <v>-48</v>
      </c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256">
        <f aca="true" t="shared" si="0" ref="R8:R15">IF(AND(C8=0,E8=0),0,1)</f>
        <v>1</v>
      </c>
      <c r="S8" s="256"/>
    </row>
    <row r="9" spans="1:19" ht="15">
      <c r="A9" s="173" t="s">
        <v>18</v>
      </c>
      <c r="B9" s="170"/>
      <c r="C9" s="171">
        <v>-102</v>
      </c>
      <c r="D9" s="172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256">
        <f t="shared" si="0"/>
        <v>1</v>
      </c>
      <c r="S9" s="256"/>
    </row>
    <row r="10" spans="1:19" ht="15" hidden="1">
      <c r="A10" s="173" t="s">
        <v>89</v>
      </c>
      <c r="B10" s="174"/>
      <c r="C10" s="171"/>
      <c r="D10" s="172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256">
        <f t="shared" si="0"/>
        <v>0</v>
      </c>
      <c r="S10" s="256"/>
    </row>
    <row r="11" spans="1:19" ht="15">
      <c r="A11" s="173" t="s">
        <v>112</v>
      </c>
      <c r="B11" s="174"/>
      <c r="C11" s="171">
        <v>-10</v>
      </c>
      <c r="D11" s="172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256">
        <f t="shared" si="0"/>
        <v>1</v>
      </c>
      <c r="S11" s="256"/>
    </row>
    <row r="12" spans="1:19" ht="15" hidden="1">
      <c r="A12" s="173" t="s">
        <v>22</v>
      </c>
      <c r="B12" s="174"/>
      <c r="C12" s="171"/>
      <c r="D12" s="172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256">
        <f t="shared" si="0"/>
        <v>0</v>
      </c>
      <c r="S12" s="256"/>
    </row>
    <row r="13" spans="1:19" ht="15" hidden="1">
      <c r="A13" s="173" t="s">
        <v>153</v>
      </c>
      <c r="B13" s="174"/>
      <c r="C13" s="171"/>
      <c r="D13" s="172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256">
        <f t="shared" si="0"/>
        <v>0</v>
      </c>
      <c r="S13" s="256"/>
    </row>
    <row r="14" spans="1:19" ht="15">
      <c r="A14" s="193" t="s">
        <v>19</v>
      </c>
      <c r="B14" s="190"/>
      <c r="C14" s="171">
        <v>-5</v>
      </c>
      <c r="D14" s="172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256">
        <f t="shared" si="0"/>
        <v>1</v>
      </c>
      <c r="S14" s="256"/>
    </row>
    <row r="15" spans="1:19" ht="15.75" thickBot="1">
      <c r="A15" s="195" t="s">
        <v>155</v>
      </c>
      <c r="B15" s="194"/>
      <c r="C15" s="196">
        <f>SUM(C7:C14)</f>
        <v>-146</v>
      </c>
      <c r="D15" s="197"/>
      <c r="E15" s="196">
        <f>SUM(E7:E14)</f>
        <v>-48</v>
      </c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256">
        <f t="shared" si="0"/>
        <v>1</v>
      </c>
      <c r="S15" s="256"/>
    </row>
    <row r="16" spans="1:19" ht="10.5" customHeight="1" thickTop="1">
      <c r="A16" s="193"/>
      <c r="B16" s="190"/>
      <c r="C16" s="191"/>
      <c r="D16" s="192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256">
        <f>IF(R17=0,0,R17)</f>
        <v>1</v>
      </c>
      <c r="S16" s="256"/>
    </row>
    <row r="17" spans="1:19" ht="15">
      <c r="A17" s="189" t="s">
        <v>21</v>
      </c>
      <c r="B17" s="190"/>
      <c r="C17" s="191"/>
      <c r="D17" s="192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256">
        <f>IF(R29=0,0,1)</f>
        <v>1</v>
      </c>
      <c r="S17" s="256"/>
    </row>
    <row r="18" spans="1:19" ht="15" hidden="1">
      <c r="A18" s="173" t="s">
        <v>90</v>
      </c>
      <c r="B18" s="170"/>
      <c r="C18" s="171"/>
      <c r="D18" s="172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256">
        <f aca="true" t="shared" si="1" ref="R18:R29">IF(AND(C18=0,E18=0),0,1)</f>
        <v>0</v>
      </c>
      <c r="S18" s="256"/>
    </row>
    <row r="19" spans="1:19" ht="15" hidden="1">
      <c r="A19" s="175" t="s">
        <v>91</v>
      </c>
      <c r="B19" s="170"/>
      <c r="C19" s="171"/>
      <c r="D19" s="172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256">
        <f t="shared" si="1"/>
        <v>0</v>
      </c>
      <c r="S19" s="256"/>
    </row>
    <row r="20" spans="1:19" ht="15" hidden="1">
      <c r="A20" s="175" t="s">
        <v>23</v>
      </c>
      <c r="B20" s="170"/>
      <c r="C20" s="171"/>
      <c r="D20" s="172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256">
        <f t="shared" si="1"/>
        <v>0</v>
      </c>
      <c r="S20" s="256"/>
    </row>
    <row r="21" spans="1:19" ht="15">
      <c r="A21" s="175" t="s">
        <v>24</v>
      </c>
      <c r="B21" s="170"/>
      <c r="C21" s="171">
        <v>7</v>
      </c>
      <c r="D21" s="172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256">
        <f t="shared" si="1"/>
        <v>1</v>
      </c>
      <c r="S21" s="256"/>
    </row>
    <row r="22" spans="1:19" ht="15" hidden="1">
      <c r="A22" s="175" t="s">
        <v>36</v>
      </c>
      <c r="B22" s="170"/>
      <c r="C22" s="171"/>
      <c r="D22" s="172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256">
        <f t="shared" si="1"/>
        <v>0</v>
      </c>
      <c r="S22" s="256"/>
    </row>
    <row r="23" spans="1:19" ht="15" hidden="1">
      <c r="A23" s="173" t="s">
        <v>26</v>
      </c>
      <c r="B23" s="170"/>
      <c r="C23" s="171"/>
      <c r="D23" s="172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256">
        <f t="shared" si="1"/>
        <v>0</v>
      </c>
      <c r="S23" s="256"/>
    </row>
    <row r="24" spans="1:19" ht="15" hidden="1">
      <c r="A24" s="175" t="s">
        <v>25</v>
      </c>
      <c r="B24" s="170"/>
      <c r="C24" s="171"/>
      <c r="D24" s="172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256">
        <f t="shared" si="1"/>
        <v>0</v>
      </c>
      <c r="S24" s="256"/>
    </row>
    <row r="25" spans="1:19" ht="15" hidden="1">
      <c r="A25" s="173" t="s">
        <v>29</v>
      </c>
      <c r="B25" s="170"/>
      <c r="C25" s="171"/>
      <c r="D25" s="172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256">
        <f t="shared" si="1"/>
        <v>0</v>
      </c>
      <c r="S25" s="256"/>
    </row>
    <row r="26" spans="1:19" ht="15" hidden="1">
      <c r="A26" s="173" t="s">
        <v>37</v>
      </c>
      <c r="B26" s="170"/>
      <c r="C26" s="171"/>
      <c r="D26" s="172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256">
        <f t="shared" si="1"/>
        <v>0</v>
      </c>
      <c r="S26" s="256"/>
    </row>
    <row r="27" spans="1:19" ht="15" hidden="1">
      <c r="A27" s="173" t="s">
        <v>89</v>
      </c>
      <c r="B27" s="174"/>
      <c r="C27" s="171"/>
      <c r="D27" s="172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256">
        <f t="shared" si="1"/>
        <v>0</v>
      </c>
      <c r="S27" s="256"/>
    </row>
    <row r="28" spans="1:19" ht="15" hidden="1">
      <c r="A28" s="193" t="s">
        <v>20</v>
      </c>
      <c r="B28" s="190"/>
      <c r="C28" s="171"/>
      <c r="D28" s="172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256">
        <f t="shared" si="1"/>
        <v>0</v>
      </c>
      <c r="S28" s="256"/>
    </row>
    <row r="29" spans="1:19" ht="15.75" thickBot="1">
      <c r="A29" s="195" t="s">
        <v>27</v>
      </c>
      <c r="B29" s="190"/>
      <c r="C29" s="196">
        <f>SUM(C18:C28)</f>
        <v>7</v>
      </c>
      <c r="D29" s="197"/>
      <c r="E29" s="196">
        <f>SUM(E18:E28)</f>
        <v>0</v>
      </c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256">
        <f t="shared" si="1"/>
        <v>1</v>
      </c>
      <c r="S29" s="256"/>
    </row>
    <row r="30" spans="1:19" ht="10.5" customHeight="1" thickTop="1">
      <c r="A30" s="193"/>
      <c r="B30" s="190"/>
      <c r="C30" s="191"/>
      <c r="D30" s="192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256">
        <f>IF(R31=0,0,R31)</f>
        <v>1</v>
      </c>
      <c r="S30" s="256"/>
    </row>
    <row r="31" spans="1:19" ht="15">
      <c r="A31" s="189" t="s">
        <v>156</v>
      </c>
      <c r="B31" s="190"/>
      <c r="C31" s="191"/>
      <c r="D31" s="192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256">
        <f>IF(R40=0,0,1)</f>
        <v>1</v>
      </c>
      <c r="S31" s="256"/>
    </row>
    <row r="32" spans="1:19" ht="15" hidden="1">
      <c r="A32" s="175" t="s">
        <v>151</v>
      </c>
      <c r="B32" s="170"/>
      <c r="C32" s="171"/>
      <c r="D32" s="172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256">
        <f aca="true" t="shared" si="2" ref="R32:R40">IF(AND(C32=0,E32=0),0,1)</f>
        <v>0</v>
      </c>
      <c r="S32" s="256"/>
    </row>
    <row r="33" spans="1:19" ht="15" hidden="1">
      <c r="A33" s="175" t="s">
        <v>152</v>
      </c>
      <c r="B33" s="170"/>
      <c r="C33" s="171"/>
      <c r="D33" s="172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256">
        <f t="shared" si="2"/>
        <v>0</v>
      </c>
      <c r="S33" s="256"/>
    </row>
    <row r="34" spans="1:19" ht="15">
      <c r="A34" s="173" t="s">
        <v>30</v>
      </c>
      <c r="B34" s="170"/>
      <c r="C34" s="171">
        <v>509</v>
      </c>
      <c r="D34" s="172"/>
      <c r="E34" s="171">
        <v>50</v>
      </c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256">
        <f t="shared" si="2"/>
        <v>1</v>
      </c>
      <c r="S34" s="256"/>
    </row>
    <row r="35" spans="1:19" ht="15">
      <c r="A35" s="173" t="s">
        <v>31</v>
      </c>
      <c r="B35" s="170"/>
      <c r="C35" s="171">
        <v>-446</v>
      </c>
      <c r="D35" s="170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256">
        <f t="shared" si="2"/>
        <v>1</v>
      </c>
      <c r="S35" s="256"/>
    </row>
    <row r="36" spans="1:19" ht="15">
      <c r="A36" s="173" t="s">
        <v>32</v>
      </c>
      <c r="B36" s="170"/>
      <c r="C36" s="171">
        <v>-1</v>
      </c>
      <c r="D36" s="170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256">
        <f t="shared" si="2"/>
        <v>1</v>
      </c>
      <c r="S36" s="256"/>
    </row>
    <row r="37" spans="1:19" ht="15" hidden="1">
      <c r="A37" s="173" t="s">
        <v>113</v>
      </c>
      <c r="B37" s="170"/>
      <c r="C37" s="171"/>
      <c r="D37" s="17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256">
        <f t="shared" si="2"/>
        <v>0</v>
      </c>
      <c r="S37" s="256"/>
    </row>
    <row r="38" spans="1:19" ht="15" hidden="1">
      <c r="A38" s="173" t="s">
        <v>89</v>
      </c>
      <c r="B38" s="174"/>
      <c r="C38" s="171"/>
      <c r="D38" s="172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256">
        <f t="shared" si="2"/>
        <v>0</v>
      </c>
      <c r="S38" s="256"/>
    </row>
    <row r="39" spans="1:19" ht="15">
      <c r="A39" s="193" t="s">
        <v>109</v>
      </c>
      <c r="B39" s="190"/>
      <c r="C39" s="171">
        <v>57</v>
      </c>
      <c r="D39" s="170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256">
        <f t="shared" si="2"/>
        <v>1</v>
      </c>
      <c r="S39" s="256"/>
    </row>
    <row r="40" spans="1:19" ht="15.75" thickBot="1">
      <c r="A40" s="195" t="s">
        <v>157</v>
      </c>
      <c r="B40" s="190"/>
      <c r="C40" s="196">
        <f>SUM(C32:C39)</f>
        <v>119</v>
      </c>
      <c r="D40" s="197"/>
      <c r="E40" s="196">
        <f>SUM(E32:E39)</f>
        <v>50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256">
        <f t="shared" si="2"/>
        <v>1</v>
      </c>
      <c r="S40" s="256"/>
    </row>
    <row r="41" spans="1:19" ht="10.5" customHeight="1" thickTop="1">
      <c r="A41" s="199"/>
      <c r="B41" s="190"/>
      <c r="C41" s="191"/>
      <c r="D41" s="190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256">
        <f>IF(R42=0,0,R42)</f>
        <v>2</v>
      </c>
      <c r="S41" s="256"/>
    </row>
    <row r="42" spans="1:19" ht="15">
      <c r="A42" s="200" t="s">
        <v>28</v>
      </c>
      <c r="B42" s="194"/>
      <c r="C42" s="201">
        <f>SUM(C15,C29,C40)</f>
        <v>-20</v>
      </c>
      <c r="D42" s="202"/>
      <c r="E42" s="201">
        <f>SUM(E15,E29,E40)</f>
        <v>2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257">
        <v>2</v>
      </c>
      <c r="S42" s="257"/>
    </row>
    <row r="43" spans="1:19" ht="10.5" customHeight="1">
      <c r="A43" s="199"/>
      <c r="B43" s="190"/>
      <c r="C43" s="191"/>
      <c r="D43" s="190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256">
        <f>IF(R44=0,0,R44)</f>
        <v>2</v>
      </c>
      <c r="S43" s="256"/>
    </row>
    <row r="44" spans="1:19" ht="15">
      <c r="A44" s="200" t="s">
        <v>92</v>
      </c>
      <c r="B44" s="194"/>
      <c r="C44" s="177">
        <v>52</v>
      </c>
      <c r="D44" s="178"/>
      <c r="E44" s="177">
        <v>26</v>
      </c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257">
        <v>2</v>
      </c>
      <c r="S44" s="257"/>
    </row>
    <row r="45" spans="1:19" ht="10.5" customHeight="1">
      <c r="A45" s="199"/>
      <c r="B45" s="190"/>
      <c r="C45" s="191"/>
      <c r="D45" s="190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256">
        <f>IF(R46=0,0,R46)</f>
        <v>2</v>
      </c>
      <c r="S45" s="256"/>
    </row>
    <row r="46" spans="1:19" ht="15.75" thickBot="1">
      <c r="A46" s="203" t="str">
        <f>CONCATENATE("Парични средства и парични еквиваленти на ",НАЧАЛО!AA1," ",CHOOSE(НАЧАЛО!AB1,НАЧАЛО!AI1,НАЧАЛО!AI2,НАЧАЛО!AI3,НАЧАЛО!AI4,НАЧАЛО!AI5,НАЧАЛО!AI6,НАЧАЛО!AI7,НАЧАЛО!AI8,НАЧАЛО!AI9,НАЧАЛО!AI10,НАЧАЛО!AI11,НАЧАЛО!AI12))</f>
        <v>Парични средства и парични еквиваленти на 31 март</v>
      </c>
      <c r="B46" s="194"/>
      <c r="C46" s="204">
        <f>SUM(C42,C44)</f>
        <v>32</v>
      </c>
      <c r="D46" s="202"/>
      <c r="E46" s="204">
        <f>SUM(E42,E44)</f>
        <v>28</v>
      </c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257">
        <v>2</v>
      </c>
      <c r="S46" s="257"/>
    </row>
    <row r="47" spans="1:19" ht="15">
      <c r="A47" s="205">
        <f>IF(AND(C$47="",E$47=""),"","Разлика в паричните средства между ОПП и БАЛАНСА!")</f>
      </c>
      <c r="B47" s="206"/>
      <c r="C47" s="207">
        <f>IF(C46=баланс!F39,"",ОПП!C46-баланс!F39)</f>
      </c>
      <c r="D47" s="208"/>
      <c r="E47" s="207">
        <f>IF(НАЧАЛО!AB$3=1,IF(E$46=баланс!I$39,"",ОПП!E$46-баланс!I$39),"")</f>
      </c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57">
        <v>2</v>
      </c>
      <c r="S47" s="257"/>
    </row>
    <row r="48" spans="1:19" ht="15">
      <c r="A48" s="312" t="str">
        <f>ОПР!A54</f>
        <v>Приложенията от страница 6 до страница 35 са неразделна част от финансовия отчет.</v>
      </c>
      <c r="B48" s="312"/>
      <c r="C48" s="312"/>
      <c r="D48" s="312"/>
      <c r="E48" s="312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57">
        <v>2</v>
      </c>
      <c r="S48" s="257"/>
    </row>
    <row r="49" spans="1:19" ht="15">
      <c r="A49" s="209">
        <f>IF(AND(C$47="",E$47=""),"","Парични средства в баланса БАЛАНСА:")</f>
      </c>
      <c r="B49" s="210"/>
      <c r="C49" s="211">
        <f>IF(C$46=баланс!F$39,"",баланс!F$39)</f>
      </c>
      <c r="D49" s="210"/>
      <c r="E49" s="211">
        <f>IF(НАЧАЛО!AB$3=1,IF(E$46=баланс!I$39,"",баланс!I$39),"")</f>
      </c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57">
        <v>2</v>
      </c>
      <c r="S49" s="257"/>
    </row>
    <row r="50" spans="1:19" ht="15">
      <c r="A50" s="95" t="str">
        <f>НАЧАЛО!$A$44</f>
        <v>Представляващ:</v>
      </c>
      <c r="B50" s="206"/>
      <c r="C50" s="212"/>
      <c r="D50" s="208"/>
      <c r="E50" s="212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57">
        <v>2</v>
      </c>
      <c r="S50" s="257"/>
    </row>
    <row r="51" spans="1:19" ht="15">
      <c r="A51" s="99" t="str">
        <f>НАЧАЛО!$A$46</f>
        <v>Явор Хайтов, Красимир Сланчев</v>
      </c>
      <c r="B51" s="206"/>
      <c r="C51" s="213"/>
      <c r="D51" s="206"/>
      <c r="E51" s="213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>
        <v>2</v>
      </c>
      <c r="S51" s="255"/>
    </row>
    <row r="52" spans="1:19" ht="15">
      <c r="A52" s="101"/>
      <c r="B52" s="206"/>
      <c r="C52" s="213"/>
      <c r="D52" s="206"/>
      <c r="E52" s="213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>
        <v>2</v>
      </c>
      <c r="S52" s="255"/>
    </row>
    <row r="53" spans="1:19" ht="15">
      <c r="A53" s="100" t="str">
        <f>НАЧАЛО!$F$44</f>
        <v>Съставител:</v>
      </c>
      <c r="B53" s="206"/>
      <c r="C53" s="213"/>
      <c r="D53" s="206"/>
      <c r="E53" s="213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>
        <v>2</v>
      </c>
      <c r="S53" s="255"/>
    </row>
    <row r="54" spans="1:19" ht="15">
      <c r="A54" s="103" t="str">
        <f>НАЧАЛО!$F$46</f>
        <v>Ралица Кайджиева</v>
      </c>
      <c r="B54" s="214"/>
      <c r="C54" s="215"/>
      <c r="D54" s="206"/>
      <c r="E54" s="21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>
        <v>2</v>
      </c>
      <c r="S54" s="255"/>
    </row>
    <row r="55" spans="1:19" ht="15">
      <c r="A55" s="100"/>
      <c r="B55" s="313"/>
      <c r="C55" s="313"/>
      <c r="D55" s="313"/>
      <c r="E55" s="313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>
        <v>2</v>
      </c>
      <c r="S55" s="255"/>
    </row>
    <row r="56" spans="1:19" ht="15">
      <c r="A56" s="103" t="str">
        <f>НАЧАЛО!$C$49</f>
        <v>Заверил:</v>
      </c>
      <c r="B56" s="216"/>
      <c r="C56" s="216"/>
      <c r="D56" s="216"/>
      <c r="E56" s="216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>
        <v>2</v>
      </c>
      <c r="S56" s="255"/>
    </row>
    <row r="57" spans="1:19" ht="15">
      <c r="A57" s="99" t="str">
        <f>НАЧАЛО!$C$51</f>
        <v>СОП „Ейч Ел Би България” ООД</v>
      </c>
      <c r="B57" s="214"/>
      <c r="C57" s="215"/>
      <c r="D57" s="206"/>
      <c r="E57" s="21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>
        <v>2</v>
      </c>
      <c r="S57" s="255"/>
    </row>
    <row r="58" spans="1:19" ht="15" customHeight="1">
      <c r="A58" s="105"/>
      <c r="B58" s="214"/>
      <c r="C58" s="215"/>
      <c r="D58" s="206"/>
      <c r="E58" s="215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>
        <v>2</v>
      </c>
      <c r="S58" s="257"/>
    </row>
    <row r="59" spans="1:19" ht="15">
      <c r="A59" s="99" t="str">
        <f>НАЧАЛО!$C$57</f>
        <v>София, 21 април 2009 г.</v>
      </c>
      <c r="B59" s="214"/>
      <c r="C59" s="215"/>
      <c r="D59" s="206"/>
      <c r="E59" s="215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>
        <v>2</v>
      </c>
      <c r="S59" s="257"/>
    </row>
    <row r="60" ht="15" hidden="1">
      <c r="A60" s="35"/>
    </row>
    <row r="61" ht="15" hidden="1">
      <c r="A61" s="36"/>
    </row>
    <row r="62" ht="15" hidden="1">
      <c r="A62" s="35"/>
    </row>
    <row r="63" ht="15" hidden="1">
      <c r="A63" s="37"/>
    </row>
    <row r="64" ht="15" hidden="1">
      <c r="A64" s="37"/>
    </row>
    <row r="65" ht="15" hidden="1">
      <c r="A65" s="182"/>
    </row>
  </sheetData>
  <sheetProtection password="DC9E" sheet="1" objects="1" formatRows="0" insertRows="0"/>
  <conditionalFormatting sqref="A1:E59">
    <cfRule type="expression" priority="6" dxfId="0" stopIfTrue="1">
      <formula>JJ41&lt;&gt;JK41</formula>
    </cfRule>
    <cfRule type="expression" priority="7" dxfId="0" stopIfTrue="1">
      <formula>JJ42&gt;JK42</formula>
    </cfRule>
  </conditionalFormatting>
  <conditionalFormatting sqref="A48">
    <cfRule type="expression" priority="1" dxfId="6" stopIfTrue="1">
      <formula>JJ61=JK61</formula>
    </cfRule>
  </conditionalFormatting>
  <printOptions horizontalCentered="1"/>
  <pageMargins left="0.7086614173228347" right="0.4330708661417323" top="0.4724409448818898" bottom="0.35433070866141736" header="0.31496062992125984" footer="0.1968503937007874"/>
  <pageSetup horizontalDpi="600" verticalDpi="600" orientation="portrait" paperSize="9" scale="9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Y75"/>
  <sheetViews>
    <sheetView zoomScaleSheetLayoutView="100" zoomScalePageLayoutView="0" workbookViewId="0" topLeftCell="A1">
      <pane ySplit="2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1.140625" style="249" customWidth="1"/>
    <col min="2" max="2" width="1.421875" style="249" customWidth="1"/>
    <col min="3" max="3" width="9.7109375" style="1" customWidth="1"/>
    <col min="4" max="4" width="1.421875" style="1" customWidth="1"/>
    <col min="5" max="5" width="9.7109375" style="1" customWidth="1"/>
    <col min="6" max="6" width="1.421875" style="1" hidden="1" customWidth="1"/>
    <col min="7" max="7" width="9.7109375" style="1" hidden="1" customWidth="1"/>
    <col min="8" max="8" width="1.421875" style="1" hidden="1" customWidth="1"/>
    <col min="9" max="9" width="9.7109375" style="1" hidden="1" customWidth="1"/>
    <col min="10" max="10" width="1.421875" style="1" hidden="1" customWidth="1"/>
    <col min="11" max="11" width="9.7109375" style="1" hidden="1" customWidth="1"/>
    <col min="12" max="12" width="1.421875" style="1" customWidth="1"/>
    <col min="13" max="13" width="10.421875" style="1" customWidth="1"/>
    <col min="14" max="14" width="1.421875" style="1" customWidth="1"/>
    <col min="15" max="15" width="9.7109375" style="1" customWidth="1"/>
    <col min="16" max="16" width="1.421875" style="1" customWidth="1"/>
    <col min="17" max="17" width="9.7109375" style="1" customWidth="1"/>
    <col min="18" max="19" width="1.421875" style="1" customWidth="1"/>
    <col min="20" max="16384" width="9.140625" style="1" customWidth="1"/>
  </cols>
  <sheetData>
    <row r="1" spans="1:25" ht="18" customHeight="1">
      <c r="A1" s="303" t="str">
        <f>ОПР!A1:I1</f>
        <v>"Железопътна Инфраструктура - Холдингово Дружество" АД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293">
        <v>2</v>
      </c>
      <c r="S1" s="291"/>
      <c r="T1" s="317"/>
      <c r="U1" s="317"/>
      <c r="V1" s="317"/>
      <c r="W1" s="317"/>
      <c r="X1" s="317"/>
      <c r="Y1" s="317"/>
    </row>
    <row r="2" spans="1:25" ht="18" customHeight="1">
      <c r="A2" s="338" t="str">
        <f>НАЧАЛО!AA19</f>
        <v>ОТЧЕТ ЗА ПРОМЕНИТЕ В СОБСТВЕНИЯ КАПИТАЛ към 31.3.2009 година</v>
      </c>
      <c r="B2" s="304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293">
        <v>2</v>
      </c>
      <c r="S2" s="291"/>
      <c r="T2" s="317"/>
      <c r="U2" s="317"/>
      <c r="V2" s="317"/>
      <c r="W2" s="317"/>
      <c r="X2" s="317"/>
      <c r="Y2" s="317"/>
    </row>
    <row r="3" spans="1:19" ht="9" customHeight="1">
      <c r="A3" s="301"/>
      <c r="B3" s="301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293">
        <v>2</v>
      </c>
      <c r="S3" s="291"/>
    </row>
    <row r="4" spans="1:19" ht="51">
      <c r="A4" s="221"/>
      <c r="B4" s="221"/>
      <c r="C4" s="222" t="s">
        <v>100</v>
      </c>
      <c r="D4" s="222"/>
      <c r="E4" s="222" t="s">
        <v>7</v>
      </c>
      <c r="F4" s="222"/>
      <c r="G4" s="222" t="s">
        <v>105</v>
      </c>
      <c r="H4" s="222"/>
      <c r="I4" s="222" t="s">
        <v>88</v>
      </c>
      <c r="J4" s="222"/>
      <c r="K4" s="222" t="s">
        <v>101</v>
      </c>
      <c r="L4" s="222"/>
      <c r="M4" s="222" t="s">
        <v>107</v>
      </c>
      <c r="N4" s="222"/>
      <c r="O4" s="222" t="s">
        <v>40</v>
      </c>
      <c r="P4" s="222"/>
      <c r="Q4" s="222" t="s">
        <v>102</v>
      </c>
      <c r="R4" s="293">
        <v>2</v>
      </c>
      <c r="S4" s="291"/>
    </row>
    <row r="5" spans="1:19" ht="15">
      <c r="A5" s="223"/>
      <c r="B5" s="223"/>
      <c r="C5" s="273" t="s">
        <v>94</v>
      </c>
      <c r="D5" s="224"/>
      <c r="E5" s="273" t="s">
        <v>94</v>
      </c>
      <c r="F5" s="224"/>
      <c r="G5" s="273" t="s">
        <v>94</v>
      </c>
      <c r="H5" s="224"/>
      <c r="I5" s="273" t="s">
        <v>94</v>
      </c>
      <c r="J5" s="2"/>
      <c r="K5" s="273" t="s">
        <v>94</v>
      </c>
      <c r="L5" s="224"/>
      <c r="M5" s="273" t="s">
        <v>94</v>
      </c>
      <c r="N5" s="224"/>
      <c r="O5" s="273" t="s">
        <v>94</v>
      </c>
      <c r="P5" s="224"/>
      <c r="Q5" s="273" t="s">
        <v>94</v>
      </c>
      <c r="R5" s="293">
        <v>2</v>
      </c>
      <c r="S5" s="291"/>
    </row>
    <row r="6" spans="1:19" s="230" customFormat="1" ht="15" hidden="1">
      <c r="A6" s="225"/>
      <c r="B6" s="225"/>
      <c r="C6" s="229"/>
      <c r="D6" s="226"/>
      <c r="E6" s="229"/>
      <c r="F6" s="227"/>
      <c r="G6" s="229"/>
      <c r="H6" s="227"/>
      <c r="I6" s="229"/>
      <c r="J6" s="228"/>
      <c r="K6" s="229"/>
      <c r="L6" s="227"/>
      <c r="M6" s="229"/>
      <c r="N6" s="227"/>
      <c r="O6" s="229"/>
      <c r="P6" s="227"/>
      <c r="Q6" s="229"/>
      <c r="R6" s="293">
        <f>IF(R7=0,0,R7)</f>
        <v>0</v>
      </c>
      <c r="S6" s="291"/>
    </row>
    <row r="7" spans="1:19" s="234" customFormat="1" ht="15.75" hidden="1" thickBot="1">
      <c r="A7" s="231" t="str">
        <f>CONCATENATE("Остатък към ",31,".",12,".",НАЧАЛО!AC1-2," г.")</f>
        <v>Остатък към 31.12.2007 г.</v>
      </c>
      <c r="B7" s="225"/>
      <c r="C7" s="233"/>
      <c r="D7" s="232"/>
      <c r="E7" s="233"/>
      <c r="F7" s="232"/>
      <c r="G7" s="233"/>
      <c r="H7" s="232"/>
      <c r="I7" s="233"/>
      <c r="J7" s="228"/>
      <c r="K7" s="233"/>
      <c r="L7" s="232"/>
      <c r="M7" s="233"/>
      <c r="N7" s="232"/>
      <c r="O7" s="233"/>
      <c r="P7" s="232"/>
      <c r="Q7" s="272">
        <f>C7+E7+G7+I7+K7+M7+O7</f>
        <v>0</v>
      </c>
      <c r="R7" s="293">
        <f>IF(R9=0,0,IF(AND(Q7=0,MAX(C7:O7)),0,1))</f>
        <v>0</v>
      </c>
      <c r="S7" s="291"/>
    </row>
    <row r="8" spans="1:19" s="234" customFormat="1" ht="15" hidden="1">
      <c r="A8" s="235"/>
      <c r="B8" s="225"/>
      <c r="C8" s="229"/>
      <c r="D8" s="232"/>
      <c r="E8" s="229"/>
      <c r="F8" s="232"/>
      <c r="G8" s="229"/>
      <c r="H8" s="232"/>
      <c r="I8" s="229"/>
      <c r="J8" s="228"/>
      <c r="K8" s="229"/>
      <c r="L8" s="232"/>
      <c r="M8" s="229"/>
      <c r="N8" s="232"/>
      <c r="O8" s="229"/>
      <c r="P8" s="232"/>
      <c r="Q8" s="297"/>
      <c r="R8" s="293">
        <f>IF(R9=0,0,R9)</f>
        <v>0</v>
      </c>
      <c r="S8" s="291"/>
    </row>
    <row r="9" spans="1:19" s="234" customFormat="1" ht="25.5" hidden="1">
      <c r="A9" s="236" t="s">
        <v>118</v>
      </c>
      <c r="B9" s="237"/>
      <c r="C9" s="229"/>
      <c r="D9" s="232"/>
      <c r="E9" s="229"/>
      <c r="F9" s="232"/>
      <c r="G9" s="229"/>
      <c r="H9" s="232"/>
      <c r="I9" s="229"/>
      <c r="J9" s="228"/>
      <c r="K9" s="229"/>
      <c r="L9" s="232"/>
      <c r="M9" s="229"/>
      <c r="N9" s="232"/>
      <c r="O9" s="229"/>
      <c r="P9" s="232"/>
      <c r="Q9" s="297">
        <f>C9+E9+G9+I9+K9+M9+O9</f>
        <v>0</v>
      </c>
      <c r="R9" s="293">
        <f>IF(AND(Q9=0,MAX(C9:O9)=0),0,1)</f>
        <v>0</v>
      </c>
      <c r="S9" s="291"/>
    </row>
    <row r="10" spans="1:19" s="234" customFormat="1" ht="15" hidden="1">
      <c r="A10" s="237"/>
      <c r="B10" s="237"/>
      <c r="C10" s="229"/>
      <c r="D10" s="232"/>
      <c r="E10" s="229"/>
      <c r="F10" s="232"/>
      <c r="G10" s="229"/>
      <c r="H10" s="232"/>
      <c r="I10" s="229"/>
      <c r="J10" s="228"/>
      <c r="K10" s="229"/>
      <c r="L10" s="232"/>
      <c r="M10" s="229"/>
      <c r="N10" s="232"/>
      <c r="O10" s="229"/>
      <c r="P10" s="232"/>
      <c r="Q10" s="297"/>
      <c r="R10" s="293">
        <f>IF(R11=0,0,R11)</f>
        <v>0</v>
      </c>
      <c r="S10" s="291"/>
    </row>
    <row r="11" spans="1:19" s="234" customFormat="1" ht="15.75" hidden="1" thickBot="1">
      <c r="A11" s="231" t="str">
        <f>CONCATENATE("Преизчислен остатък към ",31,".",12,".",НАЧАЛО!AC1-2," г.")</f>
        <v>Преизчислен остатък към 31.12.2007 г.</v>
      </c>
      <c r="B11" s="225"/>
      <c r="C11" s="272">
        <f>C7+C9</f>
        <v>0</v>
      </c>
      <c r="D11" s="270"/>
      <c r="E11" s="272">
        <f>E7+E9</f>
        <v>0</v>
      </c>
      <c r="F11" s="270"/>
      <c r="G11" s="272">
        <f>G7+G9</f>
        <v>0</v>
      </c>
      <c r="H11" s="270"/>
      <c r="I11" s="272">
        <f>I7+I9</f>
        <v>0</v>
      </c>
      <c r="J11" s="271"/>
      <c r="K11" s="272">
        <f>K7+K9</f>
        <v>0</v>
      </c>
      <c r="L11" s="270"/>
      <c r="M11" s="272">
        <f>M7+M9</f>
        <v>0</v>
      </c>
      <c r="N11" s="270"/>
      <c r="O11" s="272">
        <f>O7+O9</f>
        <v>0</v>
      </c>
      <c r="P11" s="270"/>
      <c r="Q11" s="272">
        <f>Q7+Q9</f>
        <v>0</v>
      </c>
      <c r="R11" s="293">
        <f>IF(AND(Q11=0,MAX(C11:O11)=0),0,1)</f>
        <v>0</v>
      </c>
      <c r="S11" s="291"/>
    </row>
    <row r="12" spans="1:19" s="234" customFormat="1" ht="15">
      <c r="A12" s="225"/>
      <c r="B12" s="225"/>
      <c r="C12" s="229"/>
      <c r="D12" s="232"/>
      <c r="E12" s="229"/>
      <c r="F12" s="232"/>
      <c r="G12" s="229"/>
      <c r="H12" s="232"/>
      <c r="I12" s="229"/>
      <c r="J12" s="228"/>
      <c r="K12" s="229"/>
      <c r="L12" s="232"/>
      <c r="M12" s="229"/>
      <c r="N12" s="232"/>
      <c r="O12" s="229"/>
      <c r="P12" s="232"/>
      <c r="Q12" s="297"/>
      <c r="R12" s="293">
        <f>IF(R13=0,0,R13)</f>
        <v>1</v>
      </c>
      <c r="S12" s="291"/>
    </row>
    <row r="13" spans="1:23" s="234" customFormat="1" ht="15">
      <c r="A13" s="238" t="str">
        <f>CONCATENATE("Промени в собствения капитал за ",YEAR(НАЧАЛО!AA2)-1," г.")</f>
        <v>Промени в собствения капитал за 2008 г.</v>
      </c>
      <c r="B13" s="225"/>
      <c r="C13" s="295">
        <f>C22+C24+C26+C28+C30+C32+C34</f>
        <v>58363</v>
      </c>
      <c r="D13" s="270"/>
      <c r="E13" s="295">
        <f>E22+E24+E26+E28+E30+E32+E34</f>
        <v>10072</v>
      </c>
      <c r="F13" s="296"/>
      <c r="G13" s="295">
        <f>G22+G24+G26+G28+G30+G32+G34</f>
        <v>0</v>
      </c>
      <c r="H13" s="296">
        <f>SUM(H15:H16)</f>
        <v>0</v>
      </c>
      <c r="I13" s="295">
        <f>I22+I24+I26+I28+I30+I32+I34</f>
        <v>0</v>
      </c>
      <c r="J13" s="296"/>
      <c r="K13" s="295">
        <f>K22+K24+K26+K28+K30+K32+K34</f>
        <v>0</v>
      </c>
      <c r="L13" s="296"/>
      <c r="M13" s="295">
        <f>M22+M24+M26+M28+M30+M32+M34</f>
        <v>-3497</v>
      </c>
      <c r="N13" s="296"/>
      <c r="O13" s="295">
        <f>O22+O24+O26+O28+O30+O32+O34</f>
        <v>0</v>
      </c>
      <c r="P13" s="270"/>
      <c r="Q13" s="295">
        <f>Q22+Q24+Q26+Q28+Q30+Q32+Q34</f>
        <v>64938</v>
      </c>
      <c r="R13" s="293">
        <f>IF(AND(Q13=0,MAX(C13:O13)=0),0,1)</f>
        <v>1</v>
      </c>
      <c r="S13" s="291"/>
      <c r="T13" s="242"/>
      <c r="U13" s="242"/>
      <c r="V13" s="242"/>
      <c r="W13" s="242"/>
    </row>
    <row r="14" spans="1:19" s="234" customFormat="1" ht="15" hidden="1">
      <c r="A14" s="235"/>
      <c r="B14" s="225"/>
      <c r="C14" s="228"/>
      <c r="D14" s="232"/>
      <c r="E14" s="228"/>
      <c r="F14" s="232"/>
      <c r="G14" s="228"/>
      <c r="H14" s="232"/>
      <c r="I14" s="228"/>
      <c r="J14" s="232"/>
      <c r="K14" s="228"/>
      <c r="L14" s="232"/>
      <c r="M14" s="228"/>
      <c r="N14" s="232"/>
      <c r="O14" s="228"/>
      <c r="P14" s="232"/>
      <c r="Q14" s="271"/>
      <c r="R14" s="293">
        <f>IF(R22=0,0,R22)</f>
        <v>0</v>
      </c>
      <c r="S14" s="291"/>
    </row>
    <row r="15" spans="1:19" s="234" customFormat="1" ht="25.5" customHeight="1" hidden="1">
      <c r="A15" s="239" t="s">
        <v>163</v>
      </c>
      <c r="B15" s="239"/>
      <c r="C15" s="289"/>
      <c r="D15" s="288"/>
      <c r="E15" s="289"/>
      <c r="F15" s="288"/>
      <c r="G15" s="289"/>
      <c r="H15" s="288"/>
      <c r="I15" s="289"/>
      <c r="J15" s="289"/>
      <c r="K15" s="289"/>
      <c r="L15" s="288"/>
      <c r="M15" s="289"/>
      <c r="N15" s="288"/>
      <c r="O15" s="289"/>
      <c r="P15" s="288"/>
      <c r="Q15" s="298"/>
      <c r="R15" s="293">
        <f>IF(R22=0,0,R22)</f>
        <v>0</v>
      </c>
      <c r="S15" s="291"/>
    </row>
    <row r="16" spans="1:23" s="234" customFormat="1" ht="15" hidden="1">
      <c r="A16" s="241" t="s">
        <v>158</v>
      </c>
      <c r="B16" s="241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8"/>
      <c r="Q16" s="298">
        <f aca="true" t="shared" si="0" ref="Q16:Q21">C16+E16+G16+I16+K16+M16+O16</f>
        <v>0</v>
      </c>
      <c r="R16" s="293">
        <f aca="true" t="shared" si="1" ref="R16:R22">IF(AND(Q16=0,MAX(C16:O16)=0),0,1)</f>
        <v>0</v>
      </c>
      <c r="S16" s="291"/>
      <c r="T16" s="242"/>
      <c r="U16" s="242"/>
      <c r="V16" s="242"/>
      <c r="W16" s="242"/>
    </row>
    <row r="17" spans="1:23" s="234" customFormat="1" ht="25.5" hidden="1">
      <c r="A17" s="241" t="s">
        <v>159</v>
      </c>
      <c r="B17" s="241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8"/>
      <c r="Q17" s="298">
        <f t="shared" si="0"/>
        <v>0</v>
      </c>
      <c r="R17" s="293">
        <f t="shared" si="1"/>
        <v>0</v>
      </c>
      <c r="S17" s="291"/>
      <c r="T17" s="242"/>
      <c r="U17" s="242"/>
      <c r="V17" s="242"/>
      <c r="W17" s="242"/>
    </row>
    <row r="18" spans="1:23" s="230" customFormat="1" ht="25.5" hidden="1">
      <c r="A18" s="241" t="s">
        <v>160</v>
      </c>
      <c r="B18" s="241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98">
        <f t="shared" si="0"/>
        <v>0</v>
      </c>
      <c r="R18" s="293">
        <f t="shared" si="1"/>
        <v>0</v>
      </c>
      <c r="S18" s="291"/>
      <c r="T18" s="243"/>
      <c r="U18" s="243"/>
      <c r="V18" s="243"/>
      <c r="W18" s="243"/>
    </row>
    <row r="19" spans="1:23" s="230" customFormat="1" ht="25.5" hidden="1">
      <c r="A19" s="241" t="s">
        <v>125</v>
      </c>
      <c r="B19" s="241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98">
        <f t="shared" si="0"/>
        <v>0</v>
      </c>
      <c r="R19" s="293">
        <f t="shared" si="1"/>
        <v>0</v>
      </c>
      <c r="S19" s="291"/>
      <c r="T19" s="243"/>
      <c r="U19" s="243"/>
      <c r="V19" s="243"/>
      <c r="W19" s="243"/>
    </row>
    <row r="20" spans="1:23" s="230" customFormat="1" ht="25.5" hidden="1">
      <c r="A20" s="241" t="s">
        <v>81</v>
      </c>
      <c r="B20" s="241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98">
        <f t="shared" si="0"/>
        <v>0</v>
      </c>
      <c r="R20" s="293">
        <f>IF(AND(Q20=0,MAX(C20:O20)=0),0,1)</f>
        <v>0</v>
      </c>
      <c r="S20" s="291"/>
      <c r="T20" s="243"/>
      <c r="U20" s="243"/>
      <c r="V20" s="243"/>
      <c r="W20" s="243"/>
    </row>
    <row r="21" spans="1:23" s="230" customFormat="1" ht="16.5" customHeight="1" hidden="1">
      <c r="A21" s="241" t="s">
        <v>126</v>
      </c>
      <c r="B21" s="241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98">
        <f t="shared" si="0"/>
        <v>0</v>
      </c>
      <c r="R21" s="293">
        <f t="shared" si="1"/>
        <v>0</v>
      </c>
      <c r="S21" s="291"/>
      <c r="T21" s="243"/>
      <c r="U21" s="243"/>
      <c r="V21" s="243"/>
      <c r="W21" s="243"/>
    </row>
    <row r="22" spans="1:23" s="246" customFormat="1" ht="25.5" hidden="1">
      <c r="A22" s="244" t="s">
        <v>161</v>
      </c>
      <c r="B22" s="239"/>
      <c r="C22" s="290">
        <f>SUM(C16:C21)</f>
        <v>0</v>
      </c>
      <c r="D22" s="289"/>
      <c r="E22" s="290">
        <f>SUM(E16:E21)</f>
        <v>0</v>
      </c>
      <c r="F22" s="289"/>
      <c r="G22" s="290">
        <f>SUM(G16:G21)</f>
        <v>0</v>
      </c>
      <c r="H22" s="289"/>
      <c r="I22" s="290">
        <f>SUM(I16:I21)</f>
        <v>0</v>
      </c>
      <c r="J22" s="289"/>
      <c r="K22" s="290">
        <f>SUM(K16:K21)</f>
        <v>0</v>
      </c>
      <c r="L22" s="289"/>
      <c r="M22" s="290">
        <f>SUM(M16:M21)</f>
        <v>0</v>
      </c>
      <c r="N22" s="289"/>
      <c r="O22" s="290">
        <f>SUM(O16:O21)</f>
        <v>0</v>
      </c>
      <c r="P22" s="289"/>
      <c r="Q22" s="299">
        <f>SUM(Q16:Q21)</f>
        <v>0</v>
      </c>
      <c r="R22" s="293">
        <f t="shared" si="1"/>
        <v>0</v>
      </c>
      <c r="S22" s="291"/>
      <c r="T22" s="245"/>
      <c r="U22" s="245"/>
      <c r="V22" s="245"/>
      <c r="W22" s="245"/>
    </row>
    <row r="23" spans="1:23" s="246" customFormat="1" ht="15">
      <c r="A23" s="244"/>
      <c r="B23" s="239"/>
      <c r="C23" s="290"/>
      <c r="D23" s="289"/>
      <c r="E23" s="290"/>
      <c r="F23" s="289"/>
      <c r="G23" s="290"/>
      <c r="H23" s="289"/>
      <c r="I23" s="290"/>
      <c r="J23" s="289"/>
      <c r="K23" s="290"/>
      <c r="L23" s="289"/>
      <c r="M23" s="290"/>
      <c r="N23" s="289"/>
      <c r="O23" s="290"/>
      <c r="P23" s="289"/>
      <c r="Q23" s="299"/>
      <c r="R23" s="293">
        <f>IF(R24=0,0,R24)</f>
        <v>1</v>
      </c>
      <c r="S23" s="291"/>
      <c r="T23" s="245"/>
      <c r="U23" s="245"/>
      <c r="V23" s="245"/>
      <c r="W23" s="245"/>
    </row>
    <row r="24" spans="1:23" s="246" customFormat="1" ht="15">
      <c r="A24" s="247" t="s">
        <v>164</v>
      </c>
      <c r="B24" s="239"/>
      <c r="C24" s="290"/>
      <c r="D24" s="289"/>
      <c r="E24" s="290"/>
      <c r="F24" s="289"/>
      <c r="G24" s="290"/>
      <c r="H24" s="289"/>
      <c r="I24" s="290"/>
      <c r="J24" s="289"/>
      <c r="K24" s="290"/>
      <c r="L24" s="289"/>
      <c r="M24" s="290">
        <v>-3497</v>
      </c>
      <c r="N24" s="289"/>
      <c r="O24" s="290"/>
      <c r="P24" s="289"/>
      <c r="Q24" s="299">
        <f>C24+E24+G24+I24+K24+M24+O24</f>
        <v>-3497</v>
      </c>
      <c r="R24" s="293">
        <f>IF(AND(Q24=0,MAX(C24:O24)=0),0,1)</f>
        <v>1</v>
      </c>
      <c r="S24" s="291"/>
      <c r="T24" s="245"/>
      <c r="U24" s="245"/>
      <c r="V24" s="245"/>
      <c r="W24" s="245"/>
    </row>
    <row r="25" spans="1:23" s="246" customFormat="1" ht="15" hidden="1">
      <c r="A25" s="247"/>
      <c r="B25" s="239"/>
      <c r="C25" s="290"/>
      <c r="D25" s="289"/>
      <c r="E25" s="290"/>
      <c r="F25" s="289"/>
      <c r="G25" s="290"/>
      <c r="H25" s="289"/>
      <c r="I25" s="290"/>
      <c r="J25" s="289"/>
      <c r="K25" s="290"/>
      <c r="L25" s="289"/>
      <c r="M25" s="290"/>
      <c r="N25" s="289"/>
      <c r="O25" s="290"/>
      <c r="P25" s="289"/>
      <c r="Q25" s="299"/>
      <c r="R25" s="293">
        <f>IF(R26=0,0,R26)</f>
        <v>0</v>
      </c>
      <c r="S25" s="291"/>
      <c r="T25" s="245"/>
      <c r="U25" s="245"/>
      <c r="V25" s="245"/>
      <c r="W25" s="245"/>
    </row>
    <row r="26" spans="1:23" s="230" customFormat="1" ht="15" hidden="1">
      <c r="A26" s="247" t="s">
        <v>127</v>
      </c>
      <c r="B26" s="239"/>
      <c r="C26" s="290"/>
      <c r="D26" s="289"/>
      <c r="E26" s="290"/>
      <c r="F26" s="289"/>
      <c r="G26" s="290"/>
      <c r="H26" s="289"/>
      <c r="I26" s="290"/>
      <c r="J26" s="289"/>
      <c r="K26" s="290"/>
      <c r="L26" s="289"/>
      <c r="M26" s="290"/>
      <c r="N26" s="289"/>
      <c r="O26" s="290"/>
      <c r="P26" s="289"/>
      <c r="Q26" s="299">
        <f>C26+E26+G26+I26+K26+M26+O26</f>
        <v>0</v>
      </c>
      <c r="R26" s="293">
        <f>IF(AND(Q26=0,MAX(C26:O26)=0),0,1)</f>
        <v>0</v>
      </c>
      <c r="S26" s="291"/>
      <c r="T26" s="243"/>
      <c r="U26" s="243"/>
      <c r="V26" s="243"/>
      <c r="W26" s="243"/>
    </row>
    <row r="27" spans="1:23" s="230" customFormat="1" ht="15">
      <c r="A27" s="247"/>
      <c r="B27" s="239"/>
      <c r="C27" s="290"/>
      <c r="D27" s="289"/>
      <c r="E27" s="290"/>
      <c r="F27" s="289"/>
      <c r="G27" s="290"/>
      <c r="H27" s="289"/>
      <c r="I27" s="290"/>
      <c r="J27" s="289"/>
      <c r="K27" s="290"/>
      <c r="L27" s="289"/>
      <c r="M27" s="290"/>
      <c r="N27" s="289"/>
      <c r="O27" s="290"/>
      <c r="P27" s="289"/>
      <c r="Q27" s="299"/>
      <c r="R27" s="293">
        <f>IF(R28=0,0,R28)</f>
        <v>1</v>
      </c>
      <c r="S27" s="291"/>
      <c r="T27" s="243"/>
      <c r="U27" s="243"/>
      <c r="V27" s="243"/>
      <c r="W27" s="243"/>
    </row>
    <row r="28" spans="1:23" s="230" customFormat="1" ht="15">
      <c r="A28" s="247" t="s">
        <v>162</v>
      </c>
      <c r="B28" s="239"/>
      <c r="C28" s="290">
        <v>58363</v>
      </c>
      <c r="D28" s="289"/>
      <c r="E28" s="290"/>
      <c r="F28" s="289"/>
      <c r="G28" s="290"/>
      <c r="H28" s="289"/>
      <c r="I28" s="290"/>
      <c r="J28" s="289"/>
      <c r="K28" s="290"/>
      <c r="L28" s="289"/>
      <c r="M28" s="290"/>
      <c r="N28" s="289"/>
      <c r="O28" s="290"/>
      <c r="P28" s="289"/>
      <c r="Q28" s="299">
        <f>C28+E28+G28+I28+K28+M28+O28</f>
        <v>58363</v>
      </c>
      <c r="R28" s="293">
        <f>IF(AND(Q28=0,MAX(C28:O28)=0),0,1)</f>
        <v>1</v>
      </c>
      <c r="S28" s="291"/>
      <c r="T28" s="243"/>
      <c r="U28" s="243"/>
      <c r="V28" s="243"/>
      <c r="W28" s="243"/>
    </row>
    <row r="29" spans="1:23" s="230" customFormat="1" ht="15" hidden="1">
      <c r="A29" s="247"/>
      <c r="B29" s="239"/>
      <c r="C29" s="290"/>
      <c r="D29" s="289"/>
      <c r="E29" s="290"/>
      <c r="F29" s="289"/>
      <c r="G29" s="290"/>
      <c r="H29" s="289"/>
      <c r="I29" s="290"/>
      <c r="J29" s="289"/>
      <c r="K29" s="290"/>
      <c r="L29" s="289"/>
      <c r="M29" s="290"/>
      <c r="N29" s="289"/>
      <c r="O29" s="290"/>
      <c r="P29" s="289"/>
      <c r="Q29" s="299"/>
      <c r="R29" s="293">
        <f>IF(R30=0,0,R30)</f>
        <v>0</v>
      </c>
      <c r="S29" s="291"/>
      <c r="T29" s="243"/>
      <c r="U29" s="243"/>
      <c r="V29" s="243"/>
      <c r="W29" s="243"/>
    </row>
    <row r="30" spans="1:23" s="230" customFormat="1" ht="15" hidden="1">
      <c r="A30" s="247" t="s">
        <v>165</v>
      </c>
      <c r="B30" s="239"/>
      <c r="C30" s="290"/>
      <c r="D30" s="289"/>
      <c r="E30" s="290"/>
      <c r="F30" s="289"/>
      <c r="G30" s="290"/>
      <c r="H30" s="289"/>
      <c r="I30" s="290"/>
      <c r="J30" s="289"/>
      <c r="K30" s="290"/>
      <c r="L30" s="289"/>
      <c r="M30" s="290"/>
      <c r="N30" s="289"/>
      <c r="O30" s="290"/>
      <c r="P30" s="289"/>
      <c r="Q30" s="299">
        <f>C30+E30+G30+I30+K30+M30+O30</f>
        <v>0</v>
      </c>
      <c r="R30" s="293">
        <f>IF(AND(Q30=0,MAX(C30:O30)=0),0,1)</f>
        <v>0</v>
      </c>
      <c r="S30" s="291"/>
      <c r="T30" s="243"/>
      <c r="U30" s="243"/>
      <c r="V30" s="243"/>
      <c r="W30" s="243"/>
    </row>
    <row r="31" spans="1:23" s="230" customFormat="1" ht="15" hidden="1">
      <c r="A31" s="247"/>
      <c r="B31" s="239"/>
      <c r="C31" s="290"/>
      <c r="D31" s="289"/>
      <c r="E31" s="290"/>
      <c r="F31" s="289"/>
      <c r="G31" s="290"/>
      <c r="H31" s="289"/>
      <c r="I31" s="290"/>
      <c r="J31" s="289"/>
      <c r="K31" s="290"/>
      <c r="L31" s="289"/>
      <c r="M31" s="290"/>
      <c r="N31" s="289"/>
      <c r="O31" s="290"/>
      <c r="P31" s="289"/>
      <c r="Q31" s="299"/>
      <c r="R31" s="293">
        <f>IF(R32=0,0,R32)</f>
        <v>0</v>
      </c>
      <c r="S31" s="291"/>
      <c r="T31" s="243"/>
      <c r="U31" s="243"/>
      <c r="V31" s="243"/>
      <c r="W31" s="243"/>
    </row>
    <row r="32" spans="1:23" s="230" customFormat="1" ht="15" hidden="1">
      <c r="A32" s="247" t="s">
        <v>41</v>
      </c>
      <c r="B32" s="239"/>
      <c r="C32" s="290"/>
      <c r="D32" s="289"/>
      <c r="E32" s="290"/>
      <c r="F32" s="289"/>
      <c r="G32" s="290"/>
      <c r="H32" s="289"/>
      <c r="I32" s="290"/>
      <c r="J32" s="289"/>
      <c r="K32" s="290"/>
      <c r="L32" s="289"/>
      <c r="M32" s="290"/>
      <c r="N32" s="289"/>
      <c r="O32" s="290"/>
      <c r="P32" s="289"/>
      <c r="Q32" s="299">
        <f>C32+E32+G32+I32+K32+M32+O32</f>
        <v>0</v>
      </c>
      <c r="R32" s="293">
        <f>IF(AND(Q32=0,MAX(C32:O32)=0),0,1)</f>
        <v>0</v>
      </c>
      <c r="S32" s="291"/>
      <c r="T32" s="243"/>
      <c r="U32" s="243"/>
      <c r="V32" s="243"/>
      <c r="W32" s="243"/>
    </row>
    <row r="33" spans="1:23" s="230" customFormat="1" ht="15">
      <c r="A33" s="247"/>
      <c r="B33" s="239"/>
      <c r="C33" s="290"/>
      <c r="D33" s="289"/>
      <c r="E33" s="290"/>
      <c r="F33" s="289"/>
      <c r="G33" s="290"/>
      <c r="H33" s="289"/>
      <c r="I33" s="290"/>
      <c r="J33" s="289"/>
      <c r="K33" s="290"/>
      <c r="L33" s="289"/>
      <c r="M33" s="290"/>
      <c r="N33" s="289"/>
      <c r="O33" s="290"/>
      <c r="P33" s="289"/>
      <c r="Q33" s="299"/>
      <c r="R33" s="293">
        <f>IF(R34=0,0,R34)</f>
        <v>1</v>
      </c>
      <c r="S33" s="291"/>
      <c r="T33" s="243"/>
      <c r="U33" s="243"/>
      <c r="V33" s="243"/>
      <c r="W33" s="243"/>
    </row>
    <row r="34" spans="1:23" s="230" customFormat="1" ht="15">
      <c r="A34" s="247" t="s">
        <v>117</v>
      </c>
      <c r="B34" s="239"/>
      <c r="C34" s="290"/>
      <c r="D34" s="289"/>
      <c r="E34" s="290">
        <v>10072</v>
      </c>
      <c r="F34" s="289"/>
      <c r="G34" s="290"/>
      <c r="H34" s="289"/>
      <c r="I34" s="290"/>
      <c r="J34" s="289"/>
      <c r="K34" s="290"/>
      <c r="L34" s="289"/>
      <c r="M34" s="290"/>
      <c r="N34" s="289"/>
      <c r="O34" s="290"/>
      <c r="P34" s="289"/>
      <c r="Q34" s="299">
        <f>C34+E34+G34+I34+K34+M34+O34</f>
        <v>10072</v>
      </c>
      <c r="R34" s="293">
        <f>IF(AND(Q34=0,MAX(C34:O34)=0),0,1)</f>
        <v>1</v>
      </c>
      <c r="S34" s="291"/>
      <c r="T34" s="243"/>
      <c r="U34" s="243"/>
      <c r="V34" s="243"/>
      <c r="W34" s="243"/>
    </row>
    <row r="35" spans="1:23" s="230" customFormat="1" ht="15">
      <c r="A35" s="248"/>
      <c r="B35" s="248"/>
      <c r="C35" s="228"/>
      <c r="D35" s="240"/>
      <c r="E35" s="228"/>
      <c r="F35" s="240"/>
      <c r="G35" s="228"/>
      <c r="H35" s="240"/>
      <c r="I35" s="228"/>
      <c r="J35" s="240"/>
      <c r="K35" s="228"/>
      <c r="L35" s="240"/>
      <c r="M35" s="228"/>
      <c r="N35" s="240"/>
      <c r="O35" s="228"/>
      <c r="P35" s="240"/>
      <c r="Q35" s="271"/>
      <c r="R35" s="293">
        <f>IF(R36=0,0,R36)</f>
        <v>1</v>
      </c>
      <c r="S35" s="291"/>
      <c r="T35" s="243"/>
      <c r="U35" s="243"/>
      <c r="V35" s="243"/>
      <c r="W35" s="243"/>
    </row>
    <row r="36" spans="1:23" s="234" customFormat="1" ht="15.75" thickBot="1">
      <c r="A36" s="231" t="str">
        <f>CONCATENATE("Остатък към ",31,".",12,".",НАЧАЛО!AC1-1," г.")</f>
        <v>Остатък към 31.12.2008 г.</v>
      </c>
      <c r="B36" s="225"/>
      <c r="C36" s="272">
        <f>C11+C13</f>
        <v>58363</v>
      </c>
      <c r="D36" s="270"/>
      <c r="E36" s="272">
        <f>E11+E13</f>
        <v>10072</v>
      </c>
      <c r="F36" s="270"/>
      <c r="G36" s="272">
        <f>G11+G13</f>
        <v>0</v>
      </c>
      <c r="H36" s="270"/>
      <c r="I36" s="272">
        <f>I11+I13</f>
        <v>0</v>
      </c>
      <c r="J36" s="271"/>
      <c r="K36" s="272">
        <f>K11+K13</f>
        <v>0</v>
      </c>
      <c r="L36" s="270"/>
      <c r="M36" s="272">
        <f>M11+M13</f>
        <v>-3497</v>
      </c>
      <c r="N36" s="270"/>
      <c r="O36" s="272">
        <f>O11+O13</f>
        <v>0</v>
      </c>
      <c r="P36" s="270"/>
      <c r="Q36" s="272">
        <f>Q11+Q13</f>
        <v>64938</v>
      </c>
      <c r="R36" s="293">
        <f>IF(AND(Q36=0,MAX(C36:O36)=0),0,1)</f>
        <v>1</v>
      </c>
      <c r="S36" s="291"/>
      <c r="T36" s="242"/>
      <c r="U36" s="242"/>
      <c r="V36" s="242"/>
      <c r="W36" s="242"/>
    </row>
    <row r="37" spans="1:23" s="234" customFormat="1" ht="15" customHeight="1">
      <c r="A37" s="7">
        <f>IF(AND(C37="",E37="",K37="",M37="",Q37=""),"","Разлика в перата между СК и БАЛАНСА!")</f>
      </c>
      <c r="B37" s="3"/>
      <c r="C37" s="8">
        <f>IF(СК!C$36=баланс!I$55,"",СК!C$36-баланс!I$55)</f>
      </c>
      <c r="D37" s="8"/>
      <c r="E37" s="8">
        <f>IF(СК!E$36=баланс!I$60,"",СК!E$36-баланс!I$60)</f>
      </c>
      <c r="F37" s="9">
        <f>IF(K37="","","Разлика резерви общо:")</f>
      </c>
      <c r="G37" s="9"/>
      <c r="H37" s="9"/>
      <c r="I37" s="9"/>
      <c r="J37" s="9"/>
      <c r="K37" s="9">
        <f>IF(СК!G36+СК!I36+СК!K36=баланс!I$62,"",СК!G36+СК!I36+СК!K36-баланс!I$62)</f>
      </c>
      <c r="L37" s="8"/>
      <c r="M37" s="8">
        <f>IF(СК!M$36=баланс!I$64,"",СК!M36-баланс!I$64)</f>
      </c>
      <c r="N37" s="8"/>
      <c r="O37" s="8">
        <f>IF(СК!O$36=баланс!I$70,"",СК!O36-баланс!I$70)</f>
      </c>
      <c r="P37" s="8"/>
      <c r="Q37" s="8">
        <f>IF(СК!Q$36=баланс!I$72,"",СК!Q36-баланс!I$72)</f>
      </c>
      <c r="R37" s="293">
        <v>2</v>
      </c>
      <c r="S37" s="291"/>
      <c r="T37" s="242"/>
      <c r="U37" s="242"/>
      <c r="V37" s="242"/>
      <c r="W37" s="242"/>
    </row>
    <row r="38" spans="1:23" s="234" customFormat="1" ht="15">
      <c r="A38" s="238" t="str">
        <f>CONCATENATE("Промени в собствения капитал за ",YEAR(НАЧАЛО!AA2)," г.")</f>
        <v>Промени в собствения капитал за 2009 г.</v>
      </c>
      <c r="B38" s="225"/>
      <c r="C38" s="295">
        <f>C47+C49+C51+C53+C55+C57+C59</f>
        <v>0</v>
      </c>
      <c r="D38" s="270"/>
      <c r="E38" s="295">
        <f>E47+E49+E51+E53+E55+E57+E59</f>
        <v>0</v>
      </c>
      <c r="F38" s="296"/>
      <c r="G38" s="295">
        <f>G47+G49+G51+G53+G55+G57+G59</f>
        <v>0</v>
      </c>
      <c r="H38" s="296">
        <f>SUM(H40:H41)</f>
        <v>0</v>
      </c>
      <c r="I38" s="295">
        <f>I47+I49+I51+I53+I55+I57+I59</f>
        <v>0</v>
      </c>
      <c r="J38" s="296"/>
      <c r="K38" s="295">
        <f>K47+K49+K51+K53+K55+K57+K59</f>
        <v>0</v>
      </c>
      <c r="L38" s="296"/>
      <c r="M38" s="295">
        <f>M47+M49+M51+M53+M55+M57+M59</f>
        <v>-29</v>
      </c>
      <c r="N38" s="296"/>
      <c r="O38" s="295">
        <f>O47+O49+O51+O53+O55+O57+O59</f>
        <v>0</v>
      </c>
      <c r="P38" s="270"/>
      <c r="Q38" s="295">
        <f>Q47+Q49+Q51+Q53+Q55+Q57+Q59</f>
        <v>-29</v>
      </c>
      <c r="R38" s="293">
        <f>IF(AND(Q38=0,MAX(C38:O38)=0),0,1)</f>
        <v>1</v>
      </c>
      <c r="S38" s="291"/>
      <c r="T38" s="242"/>
      <c r="U38" s="242"/>
      <c r="V38" s="242"/>
      <c r="W38" s="242"/>
    </row>
    <row r="39" spans="1:23" s="234" customFormat="1" ht="15" hidden="1">
      <c r="A39" s="235"/>
      <c r="B39" s="225"/>
      <c r="C39" s="228"/>
      <c r="D39" s="232"/>
      <c r="E39" s="228"/>
      <c r="F39" s="232"/>
      <c r="G39" s="228"/>
      <c r="H39" s="232"/>
      <c r="I39" s="228"/>
      <c r="J39" s="232"/>
      <c r="K39" s="228"/>
      <c r="L39" s="232"/>
      <c r="M39" s="228"/>
      <c r="N39" s="232"/>
      <c r="O39" s="228"/>
      <c r="P39" s="232"/>
      <c r="Q39" s="271"/>
      <c r="R39" s="293">
        <f>IF(R47=0,0,R47)</f>
        <v>0</v>
      </c>
      <c r="S39" s="291"/>
      <c r="T39" s="242"/>
      <c r="U39" s="242"/>
      <c r="V39" s="242"/>
      <c r="W39" s="242"/>
    </row>
    <row r="40" spans="1:23" s="234" customFormat="1" ht="25.5" hidden="1">
      <c r="A40" s="239" t="s">
        <v>163</v>
      </c>
      <c r="B40" s="239"/>
      <c r="C40" s="289"/>
      <c r="D40" s="288"/>
      <c r="E40" s="289"/>
      <c r="F40" s="288"/>
      <c r="G40" s="289"/>
      <c r="H40" s="288"/>
      <c r="I40" s="289"/>
      <c r="J40" s="289"/>
      <c r="K40" s="289"/>
      <c r="L40" s="288"/>
      <c r="M40" s="289"/>
      <c r="N40" s="288"/>
      <c r="O40" s="289"/>
      <c r="P40" s="288"/>
      <c r="Q40" s="298"/>
      <c r="R40" s="293">
        <f>IF(R47=0,0,R47)</f>
        <v>0</v>
      </c>
      <c r="S40" s="291"/>
      <c r="T40" s="242"/>
      <c r="U40" s="242"/>
      <c r="V40" s="242"/>
      <c r="W40" s="242"/>
    </row>
    <row r="41" spans="1:23" s="234" customFormat="1" ht="15" hidden="1">
      <c r="A41" s="241" t="s">
        <v>158</v>
      </c>
      <c r="B41" s="241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8"/>
      <c r="Q41" s="298">
        <f aca="true" t="shared" si="2" ref="Q41:Q46">C41+E41+G41+I41+K41+M41+O41</f>
        <v>0</v>
      </c>
      <c r="R41" s="293">
        <f aca="true" t="shared" si="3" ref="R41:R47">IF(AND(Q41=0,MAX(C41:O41)=0),0,1)</f>
        <v>0</v>
      </c>
      <c r="S41" s="291"/>
      <c r="T41" s="242"/>
      <c r="U41" s="242"/>
      <c r="V41" s="242"/>
      <c r="W41" s="242"/>
    </row>
    <row r="42" spans="1:23" s="234" customFormat="1" ht="25.5" hidden="1">
      <c r="A42" s="241" t="s">
        <v>159</v>
      </c>
      <c r="B42" s="241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8"/>
      <c r="Q42" s="298">
        <f t="shared" si="2"/>
        <v>0</v>
      </c>
      <c r="R42" s="293">
        <f t="shared" si="3"/>
        <v>0</v>
      </c>
      <c r="S42" s="291"/>
      <c r="T42" s="242"/>
      <c r="U42" s="242"/>
      <c r="V42" s="242"/>
      <c r="W42" s="242"/>
    </row>
    <row r="43" spans="1:23" s="234" customFormat="1" ht="25.5" hidden="1">
      <c r="A43" s="241" t="s">
        <v>160</v>
      </c>
      <c r="B43" s="241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98">
        <f t="shared" si="2"/>
        <v>0</v>
      </c>
      <c r="R43" s="293">
        <f t="shared" si="3"/>
        <v>0</v>
      </c>
      <c r="S43" s="291"/>
      <c r="T43" s="242"/>
      <c r="U43" s="242"/>
      <c r="V43" s="242"/>
      <c r="W43" s="242"/>
    </row>
    <row r="44" spans="1:23" s="234" customFormat="1" ht="25.5" hidden="1">
      <c r="A44" s="241" t="s">
        <v>125</v>
      </c>
      <c r="B44" s="241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98">
        <f t="shared" si="2"/>
        <v>0</v>
      </c>
      <c r="R44" s="293">
        <f t="shared" si="3"/>
        <v>0</v>
      </c>
      <c r="S44" s="291"/>
      <c r="T44" s="242"/>
      <c r="U44" s="242"/>
      <c r="V44" s="242"/>
      <c r="W44" s="242"/>
    </row>
    <row r="45" spans="1:23" s="234" customFormat="1" ht="25.5" hidden="1">
      <c r="A45" s="241" t="s">
        <v>81</v>
      </c>
      <c r="B45" s="241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98">
        <f t="shared" si="2"/>
        <v>0</v>
      </c>
      <c r="R45" s="293">
        <f>IF(AND(Q45=0,MAX(C45:O45)=0),0,1)</f>
        <v>0</v>
      </c>
      <c r="S45" s="291"/>
      <c r="T45" s="242"/>
      <c r="U45" s="242"/>
      <c r="V45" s="242"/>
      <c r="W45" s="242"/>
    </row>
    <row r="46" spans="1:23" s="234" customFormat="1" ht="15" hidden="1">
      <c r="A46" s="241" t="s">
        <v>126</v>
      </c>
      <c r="B46" s="241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98">
        <f t="shared" si="2"/>
        <v>0</v>
      </c>
      <c r="R46" s="293">
        <f t="shared" si="3"/>
        <v>0</v>
      </c>
      <c r="S46" s="291"/>
      <c r="T46" s="242"/>
      <c r="U46" s="242"/>
      <c r="V46" s="242"/>
      <c r="W46" s="242"/>
    </row>
    <row r="47" spans="1:23" s="234" customFormat="1" ht="25.5" hidden="1">
      <c r="A47" s="244" t="s">
        <v>161</v>
      </c>
      <c r="B47" s="239"/>
      <c r="C47" s="290">
        <f>SUM(C41:C46)</f>
        <v>0</v>
      </c>
      <c r="D47" s="289"/>
      <c r="E47" s="290">
        <f>SUM(E41:E46)</f>
        <v>0</v>
      </c>
      <c r="F47" s="289"/>
      <c r="G47" s="290">
        <f>SUM(G41:G46)</f>
        <v>0</v>
      </c>
      <c r="H47" s="289"/>
      <c r="I47" s="290">
        <f>SUM(I41:I46)</f>
        <v>0</v>
      </c>
      <c r="J47" s="289"/>
      <c r="K47" s="290">
        <f>SUM(K41:K46)</f>
        <v>0</v>
      </c>
      <c r="L47" s="289"/>
      <c r="M47" s="290">
        <f>SUM(M41:M46)</f>
        <v>0</v>
      </c>
      <c r="N47" s="289"/>
      <c r="O47" s="290">
        <f>SUM(O41:O46)</f>
        <v>0</v>
      </c>
      <c r="P47" s="289"/>
      <c r="Q47" s="299">
        <f>SUM(Q41:Q46)</f>
        <v>0</v>
      </c>
      <c r="R47" s="293">
        <f t="shared" si="3"/>
        <v>0</v>
      </c>
      <c r="S47" s="291"/>
      <c r="T47" s="242"/>
      <c r="U47" s="242"/>
      <c r="V47" s="242"/>
      <c r="W47" s="242"/>
    </row>
    <row r="48" spans="1:23" s="234" customFormat="1" ht="15">
      <c r="A48" s="244"/>
      <c r="B48" s="239"/>
      <c r="C48" s="290"/>
      <c r="D48" s="289"/>
      <c r="E48" s="290"/>
      <c r="F48" s="289"/>
      <c r="G48" s="290"/>
      <c r="H48" s="289"/>
      <c r="I48" s="290"/>
      <c r="J48" s="289"/>
      <c r="K48" s="290"/>
      <c r="L48" s="289"/>
      <c r="M48" s="290"/>
      <c r="N48" s="289"/>
      <c r="O48" s="290"/>
      <c r="P48" s="289"/>
      <c r="Q48" s="299"/>
      <c r="R48" s="293">
        <f>IF(R49=0,0,R49)</f>
        <v>1</v>
      </c>
      <c r="S48" s="291"/>
      <c r="T48" s="242"/>
      <c r="U48" s="242"/>
      <c r="V48" s="242"/>
      <c r="W48" s="242"/>
    </row>
    <row r="49" spans="1:23" s="234" customFormat="1" ht="15">
      <c r="A49" s="247" t="s">
        <v>164</v>
      </c>
      <c r="B49" s="239"/>
      <c r="C49" s="290"/>
      <c r="D49" s="289"/>
      <c r="E49" s="290"/>
      <c r="F49" s="289"/>
      <c r="G49" s="290"/>
      <c r="H49" s="289"/>
      <c r="I49" s="290"/>
      <c r="J49" s="289"/>
      <c r="K49" s="290"/>
      <c r="L49" s="289"/>
      <c r="M49" s="290">
        <v>-29</v>
      </c>
      <c r="N49" s="289"/>
      <c r="O49" s="290"/>
      <c r="P49" s="289"/>
      <c r="Q49" s="299">
        <f>C49+E49+G49+I49+K49+M49+O49</f>
        <v>-29</v>
      </c>
      <c r="R49" s="293">
        <f>IF(AND(Q49=0,MAX(C49:O49)=0),0,1)</f>
        <v>1</v>
      </c>
      <c r="S49" s="291"/>
      <c r="T49" s="242"/>
      <c r="U49" s="242"/>
      <c r="V49" s="242"/>
      <c r="W49" s="242"/>
    </row>
    <row r="50" spans="1:23" s="234" customFormat="1" ht="15" hidden="1">
      <c r="A50" s="247"/>
      <c r="B50" s="239"/>
      <c r="C50" s="290"/>
      <c r="D50" s="289"/>
      <c r="E50" s="290"/>
      <c r="F50" s="289"/>
      <c r="G50" s="290"/>
      <c r="H50" s="289"/>
      <c r="I50" s="290"/>
      <c r="J50" s="289"/>
      <c r="K50" s="290"/>
      <c r="L50" s="289"/>
      <c r="M50" s="290"/>
      <c r="N50" s="289"/>
      <c r="O50" s="290"/>
      <c r="P50" s="289"/>
      <c r="Q50" s="299"/>
      <c r="R50" s="293">
        <f>IF(R51=0,0,R51)</f>
        <v>0</v>
      </c>
      <c r="S50" s="291"/>
      <c r="T50" s="242"/>
      <c r="U50" s="242"/>
      <c r="V50" s="242"/>
      <c r="W50" s="242"/>
    </row>
    <row r="51" spans="1:23" s="234" customFormat="1" ht="15" hidden="1">
      <c r="A51" s="247" t="s">
        <v>127</v>
      </c>
      <c r="B51" s="239"/>
      <c r="C51" s="290"/>
      <c r="D51" s="289"/>
      <c r="E51" s="290"/>
      <c r="F51" s="289"/>
      <c r="G51" s="290"/>
      <c r="H51" s="289"/>
      <c r="I51" s="290"/>
      <c r="J51" s="289"/>
      <c r="K51" s="290"/>
      <c r="L51" s="289"/>
      <c r="M51" s="290"/>
      <c r="N51" s="289"/>
      <c r="O51" s="290"/>
      <c r="P51" s="289"/>
      <c r="Q51" s="299">
        <f>C51+E51+G51+I51+K51+M51+O51</f>
        <v>0</v>
      </c>
      <c r="R51" s="293">
        <f>IF(AND(Q51=0,MAX(C51:O51)=0),0,1)</f>
        <v>0</v>
      </c>
      <c r="S51" s="291"/>
      <c r="T51" s="242"/>
      <c r="U51" s="242"/>
      <c r="V51" s="242"/>
      <c r="W51" s="242"/>
    </row>
    <row r="52" spans="1:23" s="234" customFormat="1" ht="15" hidden="1">
      <c r="A52" s="247"/>
      <c r="B52" s="239"/>
      <c r="C52" s="290"/>
      <c r="D52" s="289"/>
      <c r="E52" s="290"/>
      <c r="F52" s="289"/>
      <c r="G52" s="290"/>
      <c r="H52" s="289"/>
      <c r="I52" s="290"/>
      <c r="J52" s="289"/>
      <c r="K52" s="290"/>
      <c r="L52" s="289"/>
      <c r="M52" s="290"/>
      <c r="N52" s="289"/>
      <c r="O52" s="290"/>
      <c r="P52" s="289"/>
      <c r="Q52" s="299"/>
      <c r="R52" s="293">
        <f>IF(R53=0,0,R53)</f>
        <v>0</v>
      </c>
      <c r="S52" s="291"/>
      <c r="T52" s="242"/>
      <c r="U52" s="242"/>
      <c r="V52" s="242"/>
      <c r="W52" s="242"/>
    </row>
    <row r="53" spans="1:23" s="246" customFormat="1" ht="15" hidden="1">
      <c r="A53" s="247" t="s">
        <v>162</v>
      </c>
      <c r="B53" s="239"/>
      <c r="C53" s="290"/>
      <c r="D53" s="289"/>
      <c r="E53" s="290"/>
      <c r="F53" s="289"/>
      <c r="G53" s="290"/>
      <c r="H53" s="289"/>
      <c r="I53" s="290"/>
      <c r="J53" s="289"/>
      <c r="K53" s="290"/>
      <c r="L53" s="289"/>
      <c r="M53" s="290"/>
      <c r="N53" s="289"/>
      <c r="O53" s="290"/>
      <c r="P53" s="289"/>
      <c r="Q53" s="299">
        <f>C53+E53+G53+I53+K53+M53+O53</f>
        <v>0</v>
      </c>
      <c r="R53" s="293">
        <f>IF(AND(Q53=0,MAX(C53:O53)=0),0,1)</f>
        <v>0</v>
      </c>
      <c r="S53" s="291"/>
      <c r="T53" s="245"/>
      <c r="U53" s="245"/>
      <c r="V53" s="245"/>
      <c r="W53" s="245"/>
    </row>
    <row r="54" spans="1:23" s="230" customFormat="1" ht="15" hidden="1">
      <c r="A54" s="247"/>
      <c r="B54" s="239"/>
      <c r="C54" s="290"/>
      <c r="D54" s="289"/>
      <c r="E54" s="290"/>
      <c r="F54" s="289"/>
      <c r="G54" s="290"/>
      <c r="H54" s="289"/>
      <c r="I54" s="290"/>
      <c r="J54" s="289"/>
      <c r="K54" s="290"/>
      <c r="L54" s="289"/>
      <c r="M54" s="290"/>
      <c r="N54" s="289"/>
      <c r="O54" s="290"/>
      <c r="P54" s="289"/>
      <c r="Q54" s="299"/>
      <c r="R54" s="293">
        <f>IF(R55=0,0,R55)</f>
        <v>0</v>
      </c>
      <c r="S54" s="291"/>
      <c r="T54" s="243"/>
      <c r="U54" s="243"/>
      <c r="V54" s="243"/>
      <c r="W54" s="243"/>
    </row>
    <row r="55" spans="1:23" s="230" customFormat="1" ht="15" hidden="1">
      <c r="A55" s="247" t="s">
        <v>165</v>
      </c>
      <c r="B55" s="239"/>
      <c r="C55" s="290"/>
      <c r="D55" s="289"/>
      <c r="E55" s="290"/>
      <c r="F55" s="289"/>
      <c r="G55" s="290"/>
      <c r="H55" s="289"/>
      <c r="I55" s="290"/>
      <c r="J55" s="289"/>
      <c r="K55" s="290"/>
      <c r="L55" s="289"/>
      <c r="M55" s="290"/>
      <c r="N55" s="289"/>
      <c r="O55" s="290"/>
      <c r="P55" s="289"/>
      <c r="Q55" s="299">
        <f>C55+E55+G55+I55+K55+M55+O55</f>
        <v>0</v>
      </c>
      <c r="R55" s="293">
        <f>IF(AND(Q55=0,MAX(C55:O55)=0),0,1)</f>
        <v>0</v>
      </c>
      <c r="S55" s="291"/>
      <c r="T55" s="243"/>
      <c r="U55" s="243"/>
      <c r="V55" s="243"/>
      <c r="W55" s="243"/>
    </row>
    <row r="56" spans="1:23" s="230" customFormat="1" ht="15" hidden="1">
      <c r="A56" s="247"/>
      <c r="B56" s="239"/>
      <c r="C56" s="290"/>
      <c r="D56" s="289"/>
      <c r="E56" s="290"/>
      <c r="F56" s="289"/>
      <c r="G56" s="290"/>
      <c r="H56" s="289"/>
      <c r="I56" s="290"/>
      <c r="J56" s="289"/>
      <c r="K56" s="290"/>
      <c r="L56" s="289"/>
      <c r="M56" s="290"/>
      <c r="N56" s="289"/>
      <c r="O56" s="290"/>
      <c r="P56" s="289"/>
      <c r="Q56" s="299"/>
      <c r="R56" s="293">
        <f>IF(R57=0,0,R57)</f>
        <v>0</v>
      </c>
      <c r="S56" s="291"/>
      <c r="T56" s="243"/>
      <c r="U56" s="243"/>
      <c r="V56" s="243"/>
      <c r="W56" s="243"/>
    </row>
    <row r="57" spans="1:23" s="230" customFormat="1" ht="15" hidden="1">
      <c r="A57" s="247" t="s">
        <v>41</v>
      </c>
      <c r="B57" s="239"/>
      <c r="C57" s="290"/>
      <c r="D57" s="289"/>
      <c r="E57" s="290"/>
      <c r="F57" s="289"/>
      <c r="G57" s="290"/>
      <c r="H57" s="289"/>
      <c r="I57" s="290"/>
      <c r="J57" s="289"/>
      <c r="K57" s="290"/>
      <c r="L57" s="289"/>
      <c r="M57" s="290"/>
      <c r="N57" s="289"/>
      <c r="O57" s="290"/>
      <c r="P57" s="289"/>
      <c r="Q57" s="299">
        <f>C57+E57+G57+I57+K57+M57+O57</f>
        <v>0</v>
      </c>
      <c r="R57" s="293">
        <f>IF(AND(Q57=0,MAX(C57:O57)=0),0,1)</f>
        <v>0</v>
      </c>
      <c r="S57" s="291"/>
      <c r="T57" s="243"/>
      <c r="U57" s="243"/>
      <c r="V57" s="243"/>
      <c r="W57" s="243"/>
    </row>
    <row r="58" spans="1:23" s="246" customFormat="1" ht="15" hidden="1">
      <c r="A58" s="247"/>
      <c r="B58" s="239"/>
      <c r="C58" s="290"/>
      <c r="D58" s="289"/>
      <c r="E58" s="290"/>
      <c r="F58" s="289"/>
      <c r="G58" s="290"/>
      <c r="H58" s="289"/>
      <c r="I58" s="290"/>
      <c r="J58" s="289"/>
      <c r="K58" s="290"/>
      <c r="L58" s="289"/>
      <c r="M58" s="290"/>
      <c r="N58" s="289"/>
      <c r="O58" s="290"/>
      <c r="P58" s="289"/>
      <c r="Q58" s="299"/>
      <c r="R58" s="293">
        <f>IF(R59=0,0,R59)</f>
        <v>0</v>
      </c>
      <c r="S58" s="291"/>
      <c r="T58" s="245"/>
      <c r="U58" s="245"/>
      <c r="V58" s="245"/>
      <c r="W58" s="245"/>
    </row>
    <row r="59" spans="1:23" s="234" customFormat="1" ht="15" hidden="1">
      <c r="A59" s="247" t="s">
        <v>117</v>
      </c>
      <c r="B59" s="239"/>
      <c r="C59" s="290"/>
      <c r="D59" s="289"/>
      <c r="E59" s="290"/>
      <c r="F59" s="289"/>
      <c r="G59" s="290"/>
      <c r="H59" s="289"/>
      <c r="I59" s="290"/>
      <c r="J59" s="289"/>
      <c r="K59" s="290"/>
      <c r="L59" s="289"/>
      <c r="M59" s="290"/>
      <c r="N59" s="289"/>
      <c r="O59" s="290"/>
      <c r="P59" s="289"/>
      <c r="Q59" s="299">
        <f>C59+E59+G59+I59+K59+M59+O59</f>
        <v>0</v>
      </c>
      <c r="R59" s="293">
        <f>IF(AND(Q59=0,MAX(C59:O59)=0),0,1)</f>
        <v>0</v>
      </c>
      <c r="S59" s="291"/>
      <c r="T59" s="242"/>
      <c r="U59" s="242"/>
      <c r="V59" s="242"/>
      <c r="W59" s="242"/>
    </row>
    <row r="60" spans="1:23" s="234" customFormat="1" ht="15">
      <c r="A60" s="248"/>
      <c r="B60" s="248"/>
      <c r="C60" s="228"/>
      <c r="D60" s="240"/>
      <c r="E60" s="228"/>
      <c r="F60" s="240"/>
      <c r="G60" s="228"/>
      <c r="H60" s="240"/>
      <c r="I60" s="228"/>
      <c r="J60" s="240"/>
      <c r="K60" s="228"/>
      <c r="L60" s="240"/>
      <c r="M60" s="228"/>
      <c r="N60" s="240"/>
      <c r="O60" s="228"/>
      <c r="P60" s="240"/>
      <c r="Q60" s="271"/>
      <c r="R60" s="293">
        <f>IF(R61=0,0,R61)</f>
        <v>2</v>
      </c>
      <c r="S60" s="291"/>
      <c r="T60" s="242"/>
      <c r="U60" s="242"/>
      <c r="V60" s="242"/>
      <c r="W60" s="242"/>
    </row>
    <row r="61" spans="1:23" s="234" customFormat="1" ht="15.75" thickBot="1">
      <c r="A61" s="231" t="str">
        <f>CONCATENATE("Остатък към ",НАЧАЛО!AA1,".",НАЧАЛО!AB1,".",НАЧАЛО!AC1," г.")</f>
        <v>Остатък към 31.3.2009 г.</v>
      </c>
      <c r="B61" s="225"/>
      <c r="C61" s="272">
        <f>C36+C38</f>
        <v>58363</v>
      </c>
      <c r="D61" s="270"/>
      <c r="E61" s="272">
        <f>E36+E38</f>
        <v>10072</v>
      </c>
      <c r="F61" s="270"/>
      <c r="G61" s="272">
        <f>G36+G38</f>
        <v>0</v>
      </c>
      <c r="H61" s="270"/>
      <c r="I61" s="272">
        <f>I36+I38</f>
        <v>0</v>
      </c>
      <c r="J61" s="271"/>
      <c r="K61" s="272">
        <f>K36+K38</f>
        <v>0</v>
      </c>
      <c r="L61" s="270"/>
      <c r="M61" s="272">
        <f>M36+M38</f>
        <v>-3526</v>
      </c>
      <c r="N61" s="270"/>
      <c r="O61" s="272">
        <f>O36+O38</f>
        <v>0</v>
      </c>
      <c r="P61" s="270"/>
      <c r="Q61" s="272">
        <f>Q36+Q38</f>
        <v>64909</v>
      </c>
      <c r="R61" s="293">
        <v>2</v>
      </c>
      <c r="S61" s="291"/>
      <c r="T61" s="242"/>
      <c r="U61" s="242"/>
      <c r="V61" s="242"/>
      <c r="W61" s="242"/>
    </row>
    <row r="62" spans="1:23" s="234" customFormat="1" ht="15">
      <c r="A62" s="287">
        <f>IF(AND(C62="",E62="",K62="",M62="",Q62=""),"","Разлика в перата между СК и БАЛАНСА!")</f>
      </c>
      <c r="B62" s="9"/>
      <c r="C62" s="8">
        <f>IF(СК!C$61=баланс!F$55,"",СК!C$61-баланс!F$55)</f>
      </c>
      <c r="D62" s="8"/>
      <c r="E62" s="8">
        <f>IF(СК!E$61=баланс!F$60,"",СК!E$61-баланс!F$60)</f>
      </c>
      <c r="F62" s="9">
        <f>IF(K62="","","Разлика резерви общо:")</f>
      </c>
      <c r="G62" s="9"/>
      <c r="H62" s="9"/>
      <c r="I62" s="9"/>
      <c r="J62" s="9"/>
      <c r="K62" s="9">
        <f>IF(G$61+I$61+K$61=баланс!F$62,"",СК!G61+СК!I61+СК!K61-баланс!F$62)</f>
      </c>
      <c r="L62" s="8"/>
      <c r="M62" s="8">
        <f>IF(СК!M$61=баланс!F$64,"",СК!M61-баланс!F$64)</f>
      </c>
      <c r="N62" s="8"/>
      <c r="O62" s="8">
        <f>IF(СК!O$61=баланс!F$70,"",СК!O61-баланс!F$70)</f>
      </c>
      <c r="P62" s="8"/>
      <c r="Q62" s="8">
        <f>IF(СК!Q$61=баланс!F$72,"",СК!Q61-баланс!F$72)</f>
      </c>
      <c r="R62" s="293">
        <v>2</v>
      </c>
      <c r="S62" s="291"/>
      <c r="T62" s="242"/>
      <c r="U62" s="242"/>
      <c r="V62" s="242"/>
      <c r="W62" s="242"/>
    </row>
    <row r="63" spans="1:23" s="230" customFormat="1" ht="15">
      <c r="A63" s="300" t="str">
        <f>ОПР!A54</f>
        <v>Приложенията от страница 6 до страница 35 са неразделна част от финансовия отчет.</v>
      </c>
      <c r="B63" s="300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293">
        <v>2</v>
      </c>
      <c r="S63" s="291"/>
      <c r="T63" s="243"/>
      <c r="U63" s="243"/>
      <c r="V63" s="243"/>
      <c r="W63" s="243"/>
    </row>
    <row r="64" spans="1:23" s="230" customFormat="1" ht="15">
      <c r="A64" s="10">
        <f>IF(AND(C64="",E64="",K64="",M64="",Q64=""),"",CONCATENATE("Стойности в БАЛАНСА към ",НАЧАЛО!AA1,".",НАЧАЛО!AB1,".",НАЧАЛО!AC1))</f>
      </c>
      <c r="B64" s="250"/>
      <c r="C64" s="10">
        <f>IF(СК!C$61=баланс!F$55,"",баланс!F$55)</f>
      </c>
      <c r="D64" s="11"/>
      <c r="E64" s="10">
        <f>IF(СК!E$61=баланс!F$60,"",баланс!F$60)</f>
      </c>
      <c r="F64" s="12">
        <f>IF(K64="","","Стойност резерви общо:")</f>
      </c>
      <c r="G64" s="12"/>
      <c r="H64" s="12"/>
      <c r="I64" s="12"/>
      <c r="J64" s="12"/>
      <c r="K64" s="12">
        <f>IF(G$61+I$61+K$61=баланс!F$62,"",баланс!F$62)</f>
      </c>
      <c r="L64" s="11"/>
      <c r="M64" s="10">
        <f>IF(СК!M$61=баланс!F$64,"",баланс!F$64)</f>
      </c>
      <c r="N64" s="11"/>
      <c r="O64" s="10">
        <f>IF(СК!O$61=баланс!F$70,"",баланс!F$70)</f>
      </c>
      <c r="P64" s="11"/>
      <c r="Q64" s="10">
        <f>IF(СК!Q$61=баланс!F$72,"",баланс!F$72)</f>
      </c>
      <c r="R64" s="293">
        <v>2</v>
      </c>
      <c r="S64" s="291"/>
      <c r="T64" s="243"/>
      <c r="U64" s="243"/>
      <c r="V64" s="243"/>
      <c r="W64" s="243"/>
    </row>
    <row r="65" spans="1:23" s="230" customFormat="1" ht="15">
      <c r="A65" s="95" t="str">
        <f>НАЧАЛО!$A$44</f>
        <v>Представляващ:</v>
      </c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293">
        <v>2</v>
      </c>
      <c r="S65" s="291"/>
      <c r="T65" s="243"/>
      <c r="U65" s="243"/>
      <c r="V65" s="243"/>
      <c r="W65" s="243"/>
    </row>
    <row r="66" spans="1:23" ht="15">
      <c r="A66" s="99" t="str">
        <f>НАЧАЛО!$A$46</f>
        <v>Явор Хайтов, Красимир Сланчев</v>
      </c>
      <c r="B66" s="158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293">
        <v>2</v>
      </c>
      <c r="S66" s="291"/>
      <c r="T66" s="249"/>
      <c r="U66" s="249"/>
      <c r="V66" s="249"/>
      <c r="W66" s="249"/>
    </row>
    <row r="67" spans="1:23" ht="15">
      <c r="A67" s="101"/>
      <c r="B67" s="25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293">
        <v>2</v>
      </c>
      <c r="S67" s="291"/>
      <c r="T67" s="249"/>
      <c r="U67" s="249"/>
      <c r="V67" s="249"/>
      <c r="W67" s="249"/>
    </row>
    <row r="68" spans="1:23" ht="15">
      <c r="A68" s="100" t="str">
        <f>НАЧАЛО!$F$44</f>
        <v>Съставител:</v>
      </c>
      <c r="B68" s="158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293">
        <v>2</v>
      </c>
      <c r="S68" s="291"/>
      <c r="T68" s="249"/>
      <c r="U68" s="249"/>
      <c r="V68" s="249"/>
      <c r="W68" s="249"/>
    </row>
    <row r="69" spans="1:23" ht="15">
      <c r="A69" s="103" t="str">
        <f>НАЧАЛО!$F$46</f>
        <v>Ралица Кайджиева</v>
      </c>
      <c r="B69" s="25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293">
        <v>2</v>
      </c>
      <c r="S69" s="291"/>
      <c r="T69" s="249"/>
      <c r="U69" s="249"/>
      <c r="V69" s="249"/>
      <c r="W69" s="249"/>
    </row>
    <row r="70" spans="1:23" ht="15">
      <c r="A70" s="100"/>
      <c r="B70" s="25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293">
        <v>2</v>
      </c>
      <c r="S70" s="291"/>
      <c r="T70" s="249"/>
      <c r="U70" s="249"/>
      <c r="V70" s="249"/>
      <c r="W70" s="249"/>
    </row>
    <row r="71" spans="1:23" ht="15">
      <c r="A71" s="103" t="str">
        <f>НАЧАЛО!$C$49</f>
        <v>Заверил:</v>
      </c>
      <c r="B71" s="25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293">
        <v>2</v>
      </c>
      <c r="S71" s="291"/>
      <c r="T71" s="249"/>
      <c r="U71" s="249"/>
      <c r="V71" s="249"/>
      <c r="W71" s="249"/>
    </row>
    <row r="72" spans="1:23" ht="15">
      <c r="A72" s="99" t="str">
        <f>НАЧАЛО!$C$51</f>
        <v>СОП „Ейч Ел Би България” ООД</v>
      </c>
      <c r="B72" s="25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293">
        <v>2</v>
      </c>
      <c r="S72" s="291"/>
      <c r="T72" s="249"/>
      <c r="U72" s="249"/>
      <c r="V72" s="249"/>
      <c r="W72" s="249"/>
    </row>
    <row r="73" spans="1:19" ht="18.75">
      <c r="A73" s="105"/>
      <c r="B73" s="253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294">
        <v>2</v>
      </c>
      <c r="S73" s="292"/>
    </row>
    <row r="74" spans="1:19" ht="15">
      <c r="A74" s="99" t="str">
        <f>НАЧАЛО!$C$57</f>
        <v>София, 21 април 2009 г.</v>
      </c>
      <c r="B74" s="25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294">
        <v>2</v>
      </c>
      <c r="S74" s="292"/>
    </row>
    <row r="75" spans="1:25" ht="15" hidden="1">
      <c r="A75" s="293">
        <v>2</v>
      </c>
      <c r="B75" s="293">
        <f>IF(C75=0,0,C75)</f>
        <v>1</v>
      </c>
      <c r="C75" s="293">
        <f>IF(AND(C61=0,MAX(C7:C36)=0,MAX(C38:C61)=0),0,1)</f>
        <v>1</v>
      </c>
      <c r="D75" s="293">
        <f>IF(E75=0,0,E75)</f>
        <v>1</v>
      </c>
      <c r="E75" s="293">
        <f>IF(AND(E61=0,MAX(E7:E36)=0,MAX(E38:E61)=0),0,1)</f>
        <v>1</v>
      </c>
      <c r="F75" s="293">
        <f>IF(G75=0,0,G75)</f>
        <v>0</v>
      </c>
      <c r="G75" s="293">
        <f>IF(AND(G61=0,MAX(G7:G36)=0,MAX(G38:G61)=0),0,1)</f>
        <v>0</v>
      </c>
      <c r="H75" s="293">
        <f>IF(I75=0,0,I75)</f>
        <v>0</v>
      </c>
      <c r="I75" s="293">
        <f>IF(AND(I61=0,MAX(I7:I36)=0,MAX(I38:I61)=0),0,1)</f>
        <v>0</v>
      </c>
      <c r="J75" s="293">
        <f>IF(K75=0,0,K75)</f>
        <v>0</v>
      </c>
      <c r="K75" s="293">
        <f>IF(AND(K61=0,MAX(K7:K36)=0,MAX(K38:K61)=0),0,1)</f>
        <v>0</v>
      </c>
      <c r="L75" s="293">
        <f>IF(M75=0,0,M75)</f>
        <v>1</v>
      </c>
      <c r="M75" s="293">
        <f>IF(AND(M61=0,MAX(M7:M36)=0,MAX(M38:M61)=0),0,1)</f>
        <v>1</v>
      </c>
      <c r="N75" s="293">
        <f>IF(O75=0,0,O75)</f>
        <v>4</v>
      </c>
      <c r="O75" s="293">
        <f>IF(НАЧАЛО!O34="КК",IF(AND(O61=0,MAX(O7:O36)=0,MAX(O38:O61)=0),0,1),4)</f>
        <v>4</v>
      </c>
      <c r="P75" s="293">
        <f>IF(Q75=0,0,Q75)</f>
        <v>2</v>
      </c>
      <c r="Q75" s="293">
        <v>2</v>
      </c>
      <c r="R75" s="293">
        <v>4</v>
      </c>
      <c r="S75" s="293">
        <v>2</v>
      </c>
      <c r="T75" s="293">
        <v>2</v>
      </c>
      <c r="U75" s="293">
        <v>2</v>
      </c>
      <c r="V75" s="293">
        <v>2</v>
      </c>
      <c r="W75" s="293">
        <v>2</v>
      </c>
      <c r="X75" s="293">
        <v>2</v>
      </c>
      <c r="Y75" s="293">
        <v>2</v>
      </c>
    </row>
  </sheetData>
  <sheetProtection password="DC9E" sheet="1" objects="1" formatColumns="0" formatRows="0" insertRows="0"/>
  <conditionalFormatting sqref="A1:Q74">
    <cfRule type="expression" priority="4" dxfId="0" stopIfTrue="1">
      <formula>JJ51&lt;&gt;JK51</formula>
    </cfRule>
    <cfRule type="expression" priority="5" dxfId="0" stopIfTrue="1">
      <formula>JJ52&gt;JK52</formula>
    </cfRule>
  </conditionalFormatting>
  <conditionalFormatting sqref="A63">
    <cfRule type="expression" priority="1" dxfId="6" stopIfTrue="1">
      <formula>JJ61=JK61</formula>
    </cfRule>
  </conditionalFormatting>
  <printOptions horizontalCentered="1"/>
  <pageMargins left="0.5905511811023623" right="0.2362204724409449" top="0.4724409448818898" bottom="0.7086614173228347" header="0.3937007874015748" footer="0.7874015748031497"/>
  <pageSetup firstPageNumber="1" useFirstPageNumber="1" horizontalDpi="600" verticalDpi="600" orientation="portrait" paperSize="9" scale="70" r:id="rId2"/>
  <colBreaks count="1" manualBreakCount="1">
    <brk id="17" max="655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1:IT66"/>
  <sheetViews>
    <sheetView zoomScalePageLayoutView="0" workbookViewId="0" topLeftCell="A1">
      <selection activeCell="A5" sqref="A5"/>
    </sheetView>
  </sheetViews>
  <sheetFormatPr defaultColWidth="0" defaultRowHeight="12.75"/>
  <cols>
    <col min="1" max="1" width="50.7109375" style="112" customWidth="1"/>
    <col min="2" max="2" width="1.7109375" style="112" customWidth="1"/>
    <col min="3" max="3" width="10.140625" style="120" bestFit="1" customWidth="1"/>
    <col min="4" max="4" width="1.7109375" style="120" hidden="1" customWidth="1"/>
    <col min="5" max="5" width="1.7109375" style="120" customWidth="1"/>
    <col min="6" max="6" width="12.7109375" style="121" customWidth="1"/>
    <col min="7" max="7" width="1.7109375" style="112" hidden="1" customWidth="1"/>
    <col min="8" max="8" width="1.7109375" style="112" customWidth="1"/>
    <col min="9" max="9" width="12.7109375" style="121" customWidth="1"/>
    <col min="10" max="10" width="1.7109375" style="121" hidden="1" customWidth="1"/>
    <col min="11" max="14" width="9.140625" style="168" hidden="1" customWidth="1"/>
    <col min="15" max="15" width="1.7109375" style="121" customWidth="1"/>
    <col min="16" max="17" width="9.140625" style="168" customWidth="1"/>
    <col min="18" max="18" width="50.7109375" style="112" customWidth="1"/>
    <col min="19" max="19" width="1.7109375" style="112" customWidth="1"/>
    <col min="20" max="20" width="10.140625" style="120" bestFit="1" customWidth="1"/>
    <col min="21" max="21" width="1.7109375" style="120" hidden="1" customWidth="1"/>
    <col min="22" max="22" width="1.7109375" style="120" customWidth="1"/>
    <col min="23" max="23" width="12.7109375" style="121" customWidth="1"/>
    <col min="24" max="24" width="1.7109375" style="112" hidden="1" customWidth="1"/>
    <col min="25" max="25" width="1.7109375" style="112" customWidth="1"/>
    <col min="26" max="26" width="12.7109375" style="121" customWidth="1"/>
    <col min="27" max="27" width="1.7109375" style="112" customWidth="1"/>
    <col min="28" max="253" width="9.140625" style="168" customWidth="1"/>
    <col min="254" max="16384" width="0" style="168" hidden="1" customWidth="1"/>
  </cols>
  <sheetData>
    <row r="1" spans="1:254" ht="15">
      <c r="A1" s="306" t="str">
        <f>НАЧАЛО!B3</f>
        <v>"Железопътна Инфраструктура - Холдингово Дружество" АД</v>
      </c>
      <c r="B1" s="306"/>
      <c r="C1" s="307"/>
      <c r="D1" s="307"/>
      <c r="E1" s="307"/>
      <c r="F1" s="307"/>
      <c r="G1" s="307"/>
      <c r="H1" s="307"/>
      <c r="I1" s="307"/>
      <c r="J1" s="76"/>
      <c r="O1" s="76"/>
      <c r="R1" s="306">
        <f>НАЧАЛО!T3</f>
        <v>0</v>
      </c>
      <c r="S1" s="306"/>
      <c r="T1" s="307"/>
      <c r="U1" s="307"/>
      <c r="V1" s="307"/>
      <c r="W1" s="307"/>
      <c r="X1" s="307"/>
      <c r="Y1" s="307"/>
      <c r="Z1" s="307"/>
      <c r="AA1" s="307"/>
      <c r="IT1" s="321">
        <v>1</v>
      </c>
    </row>
    <row r="2" spans="1:254" ht="15">
      <c r="A2" s="308" t="str">
        <f>CONCATENATE("ОТЧЕТ ЗА ДОХОДИТЕ ",НАЧАЛО!AA3,НАЧАЛО!AD1," година")</f>
        <v>ОТЧЕТ ЗА ДОХОДИТЕ към 31.3.2009 година</v>
      </c>
      <c r="B2" s="308"/>
      <c r="C2" s="309"/>
      <c r="D2" s="309"/>
      <c r="E2" s="309"/>
      <c r="F2" s="309"/>
      <c r="G2" s="309"/>
      <c r="H2" s="309"/>
      <c r="I2" s="309"/>
      <c r="J2" s="274"/>
      <c r="O2" s="274"/>
      <c r="R2" s="308" t="str">
        <f>CONCATENATE("ОТЧЕТ ЗА ДОХОДИТЕ ",НАЧАЛО!AS3,НАЧАЛО!AV1," година")</f>
        <v>ОТЧЕТ ЗА ДОХОДИТЕ  година</v>
      </c>
      <c r="S2" s="308"/>
      <c r="T2" s="309"/>
      <c r="U2" s="309"/>
      <c r="V2" s="309"/>
      <c r="W2" s="309"/>
      <c r="X2" s="309"/>
      <c r="Y2" s="309"/>
      <c r="Z2" s="309"/>
      <c r="AA2" s="309"/>
      <c r="IT2" s="321"/>
    </row>
    <row r="3" spans="1:254" ht="15.75">
      <c r="A3" s="124"/>
      <c r="B3" s="124"/>
      <c r="C3" s="125"/>
      <c r="D3" s="125"/>
      <c r="E3" s="125"/>
      <c r="F3" s="126"/>
      <c r="G3" s="127"/>
      <c r="H3" s="127"/>
      <c r="I3" s="126"/>
      <c r="J3" s="275"/>
      <c r="O3" s="275"/>
      <c r="R3" s="124"/>
      <c r="S3" s="124"/>
      <c r="T3" s="125"/>
      <c r="U3" s="125"/>
      <c r="V3" s="125"/>
      <c r="W3" s="126"/>
      <c r="X3" s="127"/>
      <c r="Y3" s="127"/>
      <c r="Z3" s="126"/>
      <c r="AA3" s="127"/>
      <c r="IT3" s="321"/>
    </row>
    <row r="4" spans="1:254" ht="15">
      <c r="A4" s="128"/>
      <c r="B4" s="128"/>
      <c r="C4" s="128"/>
      <c r="D4" s="128"/>
      <c r="E4" s="128"/>
      <c r="F4" s="114" t="str">
        <f>НАЧАЛО!AD1&amp;" г."</f>
        <v>31.3.2009 г.</v>
      </c>
      <c r="G4" s="129"/>
      <c r="H4" s="129"/>
      <c r="I4" s="114" t="str">
        <f>НАЧАЛО!AF1&amp;" г."</f>
        <v>31.3.2008 г.</v>
      </c>
      <c r="J4" s="276"/>
      <c r="O4" s="276"/>
      <c r="R4" s="128"/>
      <c r="S4" s="128"/>
      <c r="T4" s="128"/>
      <c r="U4" s="128"/>
      <c r="V4" s="128"/>
      <c r="W4" s="114" t="str">
        <f>НАЧАЛО!AV1&amp;" г."</f>
        <v> г.</v>
      </c>
      <c r="X4" s="129"/>
      <c r="Y4" s="129"/>
      <c r="Z4" s="114" t="str">
        <f>НАЧАЛО!AX1&amp;" г."</f>
        <v> г.</v>
      </c>
      <c r="AA4" s="129"/>
      <c r="IT4" s="321"/>
    </row>
    <row r="5" spans="1:254" ht="15">
      <c r="A5" s="128"/>
      <c r="B5" s="128"/>
      <c r="C5" s="130" t="s">
        <v>82</v>
      </c>
      <c r="D5" s="130"/>
      <c r="E5" s="130"/>
      <c r="F5" s="129" t="s">
        <v>94</v>
      </c>
      <c r="G5" s="47"/>
      <c r="H5" s="47"/>
      <c r="I5" s="129" t="s">
        <v>94</v>
      </c>
      <c r="J5" s="277"/>
      <c r="O5" s="277"/>
      <c r="R5" s="128"/>
      <c r="S5" s="128"/>
      <c r="T5" s="130" t="s">
        <v>82</v>
      </c>
      <c r="U5" s="130"/>
      <c r="V5" s="130"/>
      <c r="W5" s="129" t="s">
        <v>94</v>
      </c>
      <c r="X5" s="47"/>
      <c r="Y5" s="47"/>
      <c r="Z5" s="129" t="s">
        <v>94</v>
      </c>
      <c r="AA5" s="47"/>
      <c r="IT5" s="321"/>
    </row>
    <row r="6" spans="1:254" ht="15.75">
      <c r="A6" s="67" t="s">
        <v>129</v>
      </c>
      <c r="B6" s="67"/>
      <c r="C6" s="130"/>
      <c r="D6" s="130"/>
      <c r="E6" s="130"/>
      <c r="F6" s="131"/>
      <c r="G6" s="132"/>
      <c r="H6" s="132"/>
      <c r="I6" s="131"/>
      <c r="J6" s="278"/>
      <c r="O6" s="278"/>
      <c r="R6" s="67" t="s">
        <v>129</v>
      </c>
      <c r="S6" s="67"/>
      <c r="T6" s="130"/>
      <c r="U6" s="130"/>
      <c r="V6" s="130"/>
      <c r="W6" s="131"/>
      <c r="X6" s="132"/>
      <c r="Y6" s="132"/>
      <c r="Z6" s="131"/>
      <c r="AA6" s="132"/>
      <c r="IT6" s="321"/>
    </row>
    <row r="7" spans="1:254" ht="12.75">
      <c r="A7" s="128"/>
      <c r="B7" s="128"/>
      <c r="C7" s="133"/>
      <c r="D7" s="133"/>
      <c r="E7" s="133"/>
      <c r="F7" s="131"/>
      <c r="G7" s="132"/>
      <c r="H7" s="132"/>
      <c r="I7" s="131"/>
      <c r="J7" s="278"/>
      <c r="O7" s="278"/>
      <c r="R7" s="128"/>
      <c r="S7" s="128"/>
      <c r="T7" s="133"/>
      <c r="U7" s="133"/>
      <c r="V7" s="133"/>
      <c r="W7" s="131"/>
      <c r="X7" s="132"/>
      <c r="Y7" s="132"/>
      <c r="Z7" s="131"/>
      <c r="AA7" s="132"/>
      <c r="IT7" s="321"/>
    </row>
    <row r="8" spans="1:254" ht="15">
      <c r="A8" s="134" t="s">
        <v>138</v>
      </c>
      <c r="B8" s="71"/>
      <c r="C8" s="163" t="str">
        <f>IF(AND(F8=0,I8=0),"",CONCATENATE("2.1.",D8,"."))</f>
        <v>2.1.1.</v>
      </c>
      <c r="D8" s="108">
        <f>IF(AND(F8=0,I8=0),0,MAX(D$7:D7)+1)</f>
        <v>1</v>
      </c>
      <c r="E8" s="108"/>
      <c r="F8" s="136">
        <f>SUM(F9:F12)</f>
        <v>4</v>
      </c>
      <c r="G8" s="137"/>
      <c r="H8" s="137"/>
      <c r="I8" s="136">
        <f>SUM(I9:I12)</f>
        <v>0</v>
      </c>
      <c r="J8" s="279"/>
      <c r="O8" s="279"/>
      <c r="R8" s="134" t="s">
        <v>138</v>
      </c>
      <c r="S8" s="71"/>
      <c r="T8" s="163" t="str">
        <f>IF(AND(W8=0,Z8=0),"",CONCATENATE("2.1.",U8,"."))</f>
        <v>2.1.1.</v>
      </c>
      <c r="U8" s="108">
        <f>IF(AND(W8=0,Z8=0),0,MAX(U$7:U7)+1)</f>
        <v>1</v>
      </c>
      <c r="V8" s="108"/>
      <c r="W8" s="136">
        <f>SUM(W9:W12)</f>
        <v>4</v>
      </c>
      <c r="X8" s="137"/>
      <c r="Y8" s="137"/>
      <c r="Z8" s="136">
        <f>SUM(Z9:Z12)</f>
        <v>0</v>
      </c>
      <c r="AA8" s="137"/>
      <c r="IT8" s="321"/>
    </row>
    <row r="9" spans="1:254" ht="15">
      <c r="A9" s="60" t="s">
        <v>130</v>
      </c>
      <c r="B9" s="60"/>
      <c r="C9" s="53"/>
      <c r="D9" s="110"/>
      <c r="E9" s="110"/>
      <c r="F9" s="117">
        <v>1</v>
      </c>
      <c r="G9" s="116"/>
      <c r="H9" s="116"/>
      <c r="I9" s="117"/>
      <c r="J9" s="280"/>
      <c r="O9" s="280"/>
      <c r="R9" s="60" t="s">
        <v>130</v>
      </c>
      <c r="S9" s="60"/>
      <c r="T9" s="53"/>
      <c r="U9" s="110"/>
      <c r="V9" s="110"/>
      <c r="W9" s="117">
        <v>1</v>
      </c>
      <c r="X9" s="116"/>
      <c r="Y9" s="116"/>
      <c r="Z9" s="117"/>
      <c r="AA9" s="116"/>
      <c r="IT9" s="321"/>
    </row>
    <row r="10" spans="1:254" ht="15">
      <c r="A10" s="60" t="s">
        <v>131</v>
      </c>
      <c r="B10" s="60"/>
      <c r="C10" s="53"/>
      <c r="D10" s="110"/>
      <c r="E10" s="110"/>
      <c r="F10" s="117">
        <v>1</v>
      </c>
      <c r="G10" s="116"/>
      <c r="H10" s="116"/>
      <c r="I10" s="117"/>
      <c r="J10" s="280"/>
      <c r="O10" s="280"/>
      <c r="R10" s="60" t="s">
        <v>131</v>
      </c>
      <c r="S10" s="60"/>
      <c r="T10" s="53"/>
      <c r="U10" s="110"/>
      <c r="V10" s="110"/>
      <c r="W10" s="117">
        <v>1</v>
      </c>
      <c r="X10" s="116"/>
      <c r="Y10" s="116"/>
      <c r="Z10" s="117"/>
      <c r="AA10" s="116"/>
      <c r="IT10" s="321">
        <v>5</v>
      </c>
    </row>
    <row r="11" spans="1:254" ht="15">
      <c r="A11" s="60" t="s">
        <v>132</v>
      </c>
      <c r="B11" s="60"/>
      <c r="C11" s="53"/>
      <c r="D11" s="110"/>
      <c r="E11" s="110"/>
      <c r="F11" s="117">
        <v>1</v>
      </c>
      <c r="G11" s="116"/>
      <c r="H11" s="116"/>
      <c r="I11" s="117"/>
      <c r="J11" s="280"/>
      <c r="O11" s="280"/>
      <c r="R11" s="60" t="s">
        <v>132</v>
      </c>
      <c r="S11" s="60"/>
      <c r="T11" s="53"/>
      <c r="U11" s="110"/>
      <c r="V11" s="110"/>
      <c r="W11" s="117">
        <v>1</v>
      </c>
      <c r="X11" s="116"/>
      <c r="Y11" s="116"/>
      <c r="Z11" s="117"/>
      <c r="AA11" s="116"/>
      <c r="IT11" s="321"/>
    </row>
    <row r="12" spans="1:27" ht="15">
      <c r="A12" s="60" t="s">
        <v>114</v>
      </c>
      <c r="B12" s="60"/>
      <c r="C12" s="53"/>
      <c r="D12" s="110"/>
      <c r="E12" s="110"/>
      <c r="F12" s="117">
        <v>1</v>
      </c>
      <c r="G12" s="118"/>
      <c r="H12" s="118"/>
      <c r="I12" s="117"/>
      <c r="J12" s="280"/>
      <c r="O12" s="280"/>
      <c r="R12" s="60" t="s">
        <v>114</v>
      </c>
      <c r="S12" s="60"/>
      <c r="T12" s="53"/>
      <c r="U12" s="110"/>
      <c r="V12" s="110"/>
      <c r="W12" s="117">
        <v>1</v>
      </c>
      <c r="X12" s="118"/>
      <c r="Y12" s="118"/>
      <c r="Z12" s="117"/>
      <c r="AA12" s="118"/>
    </row>
    <row r="13" spans="1:27" ht="15">
      <c r="A13" s="71"/>
      <c r="B13" s="71"/>
      <c r="C13" s="139"/>
      <c r="D13" s="140"/>
      <c r="E13" s="140"/>
      <c r="F13" s="138"/>
      <c r="G13" s="138"/>
      <c r="H13" s="138"/>
      <c r="I13" s="138"/>
      <c r="J13" s="281"/>
      <c r="O13" s="281"/>
      <c r="R13" s="71"/>
      <c r="S13" s="71"/>
      <c r="T13" s="139"/>
      <c r="U13" s="140"/>
      <c r="V13" s="140"/>
      <c r="W13" s="138"/>
      <c r="X13" s="138"/>
      <c r="Y13" s="138"/>
      <c r="Z13" s="138"/>
      <c r="AA13" s="138"/>
    </row>
    <row r="14" spans="1:27" ht="15">
      <c r="A14" s="134" t="s">
        <v>148</v>
      </c>
      <c r="B14" s="71"/>
      <c r="C14" s="163" t="str">
        <f>IF(AND(F14=0,I14=0),"",CONCATENATE("2.1.",D14,"."))</f>
        <v>2.1.2.</v>
      </c>
      <c r="D14" s="108">
        <f>IF(AND(F14=0,I14=0),0,MAX(D$7:D13)+1)</f>
        <v>2</v>
      </c>
      <c r="E14" s="108"/>
      <c r="F14" s="115">
        <v>1</v>
      </c>
      <c r="G14" s="117"/>
      <c r="H14" s="117"/>
      <c r="I14" s="115"/>
      <c r="J14" s="282"/>
      <c r="O14" s="282"/>
      <c r="R14" s="134" t="s">
        <v>148</v>
      </c>
      <c r="S14" s="71"/>
      <c r="T14" s="163" t="str">
        <f>IF(AND(W14=0,Z14=0),"",CONCATENATE("2.1.",U14,"."))</f>
        <v>2.1.2.</v>
      </c>
      <c r="U14" s="108">
        <f>IF(AND(W14=0,Z14=0),0,MAX(U$7:U13)+1)</f>
        <v>2</v>
      </c>
      <c r="V14" s="108"/>
      <c r="W14" s="115">
        <v>1</v>
      </c>
      <c r="X14" s="117"/>
      <c r="Y14" s="117"/>
      <c r="Z14" s="115"/>
      <c r="AA14" s="117"/>
    </row>
    <row r="15" spans="1:27" ht="15">
      <c r="A15" s="71"/>
      <c r="B15" s="71"/>
      <c r="C15" s="53"/>
      <c r="D15" s="110"/>
      <c r="E15" s="110"/>
      <c r="F15" s="141"/>
      <c r="G15" s="142"/>
      <c r="H15" s="142"/>
      <c r="I15" s="141"/>
      <c r="J15" s="279"/>
      <c r="O15" s="279"/>
      <c r="R15" s="71"/>
      <c r="S15" s="71"/>
      <c r="T15" s="53"/>
      <c r="U15" s="110"/>
      <c r="V15" s="110"/>
      <c r="W15" s="141"/>
      <c r="X15" s="142"/>
      <c r="Y15" s="142"/>
      <c r="Z15" s="141"/>
      <c r="AA15" s="142"/>
    </row>
    <row r="16" spans="1:27" ht="15">
      <c r="A16" s="134" t="s">
        <v>137</v>
      </c>
      <c r="B16" s="71"/>
      <c r="C16" s="163" t="str">
        <f>IF(AND(F16=0,I16=0),"",CONCATENATE("2.1.",D16,"."))</f>
        <v>2.1.3.</v>
      </c>
      <c r="D16" s="108">
        <f>IF(AND(F16=0,I16=0),0,MAX(D$7:D15)+1)</f>
        <v>3</v>
      </c>
      <c r="E16" s="108"/>
      <c r="F16" s="115">
        <v>1</v>
      </c>
      <c r="G16" s="117"/>
      <c r="H16" s="117"/>
      <c r="I16" s="115"/>
      <c r="J16" s="282"/>
      <c r="O16" s="282"/>
      <c r="R16" s="134" t="s">
        <v>137</v>
      </c>
      <c r="S16" s="71"/>
      <c r="T16" s="163" t="str">
        <f>IF(AND(W16=0,Z16=0),"",CONCATENATE("2.1.",U16,"."))</f>
        <v>2.1.3.</v>
      </c>
      <c r="U16" s="108">
        <f>IF(AND(W16=0,Z16=0),0,MAX(U$7:U15)+1)</f>
        <v>3</v>
      </c>
      <c r="V16" s="108"/>
      <c r="W16" s="115">
        <v>1</v>
      </c>
      <c r="X16" s="117"/>
      <c r="Y16" s="117"/>
      <c r="Z16" s="115"/>
      <c r="AA16" s="117"/>
    </row>
    <row r="17" spans="1:27" ht="15">
      <c r="A17" s="71"/>
      <c r="B17" s="71"/>
      <c r="C17" s="53"/>
      <c r="D17" s="110"/>
      <c r="E17" s="110"/>
      <c r="F17" s="141"/>
      <c r="G17" s="142"/>
      <c r="H17" s="142"/>
      <c r="I17" s="141"/>
      <c r="J17" s="279"/>
      <c r="O17" s="279"/>
      <c r="R17" s="71"/>
      <c r="S17" s="71"/>
      <c r="T17" s="53"/>
      <c r="U17" s="110"/>
      <c r="V17" s="110"/>
      <c r="W17" s="141"/>
      <c r="X17" s="142"/>
      <c r="Y17" s="142"/>
      <c r="Z17" s="141"/>
      <c r="AA17" s="142"/>
    </row>
    <row r="18" spans="1:27" ht="15.75" thickBot="1">
      <c r="A18" s="143" t="s">
        <v>128</v>
      </c>
      <c r="B18" s="47"/>
      <c r="C18" s="144"/>
      <c r="D18" s="110"/>
      <c r="E18" s="110"/>
      <c r="F18" s="145">
        <f>F8+F14+F16</f>
        <v>6</v>
      </c>
      <c r="G18" s="146"/>
      <c r="H18" s="146"/>
      <c r="I18" s="145">
        <f>I8+I14+I16</f>
        <v>0</v>
      </c>
      <c r="J18" s="279"/>
      <c r="O18" s="279"/>
      <c r="R18" s="143" t="s">
        <v>128</v>
      </c>
      <c r="S18" s="47"/>
      <c r="T18" s="144"/>
      <c r="U18" s="110"/>
      <c r="V18" s="110"/>
      <c r="W18" s="145">
        <f>W8+W14+W16</f>
        <v>6</v>
      </c>
      <c r="X18" s="146"/>
      <c r="Y18" s="146"/>
      <c r="Z18" s="145">
        <f>Z8+Z14+Z16</f>
        <v>0</v>
      </c>
      <c r="AA18" s="146"/>
    </row>
    <row r="19" spans="1:27" ht="15.75" thickTop="1">
      <c r="A19" s="60"/>
      <c r="B19" s="60"/>
      <c r="C19" s="53"/>
      <c r="D19" s="110"/>
      <c r="E19" s="110"/>
      <c r="F19" s="138"/>
      <c r="G19" s="55"/>
      <c r="H19" s="55"/>
      <c r="I19" s="138"/>
      <c r="J19" s="281"/>
      <c r="O19" s="281"/>
      <c r="R19" s="60"/>
      <c r="S19" s="60"/>
      <c r="T19" s="53"/>
      <c r="U19" s="110"/>
      <c r="V19" s="110"/>
      <c r="W19" s="138"/>
      <c r="X19" s="55"/>
      <c r="Y19" s="55"/>
      <c r="Z19" s="138"/>
      <c r="AA19" s="55"/>
    </row>
    <row r="20" spans="1:27" ht="15.75">
      <c r="A20" s="67" t="s">
        <v>133</v>
      </c>
      <c r="B20" s="47"/>
      <c r="C20" s="53"/>
      <c r="D20" s="110"/>
      <c r="E20" s="110"/>
      <c r="F20" s="138"/>
      <c r="G20" s="53"/>
      <c r="H20" s="53"/>
      <c r="I20" s="138"/>
      <c r="J20" s="281"/>
      <c r="O20" s="281"/>
      <c r="R20" s="67" t="s">
        <v>133</v>
      </c>
      <c r="S20" s="47"/>
      <c r="T20" s="53"/>
      <c r="U20" s="110"/>
      <c r="V20" s="110"/>
      <c r="W20" s="138"/>
      <c r="X20" s="53"/>
      <c r="Y20" s="53"/>
      <c r="Z20" s="138"/>
      <c r="AA20" s="53"/>
    </row>
    <row r="21" spans="1:27" ht="12.75">
      <c r="A21" s="128"/>
      <c r="B21" s="128"/>
      <c r="C21" s="133"/>
      <c r="D21" s="133"/>
      <c r="E21" s="133"/>
      <c r="F21" s="131"/>
      <c r="G21" s="132"/>
      <c r="H21" s="132"/>
      <c r="I21" s="131"/>
      <c r="J21" s="278"/>
      <c r="O21" s="278"/>
      <c r="R21" s="128"/>
      <c r="S21" s="128"/>
      <c r="T21" s="133"/>
      <c r="U21" s="133"/>
      <c r="V21" s="133"/>
      <c r="W21" s="131"/>
      <c r="X21" s="132"/>
      <c r="Y21" s="132"/>
      <c r="Z21" s="131"/>
      <c r="AA21" s="132"/>
    </row>
    <row r="22" spans="1:27" ht="15">
      <c r="A22" s="134" t="s">
        <v>95</v>
      </c>
      <c r="B22" s="71"/>
      <c r="C22" s="123"/>
      <c r="D22" s="110"/>
      <c r="E22" s="110"/>
      <c r="F22" s="136">
        <f>SUM(F23:F28)</f>
        <v>-4</v>
      </c>
      <c r="G22" s="53"/>
      <c r="H22" s="53"/>
      <c r="I22" s="136">
        <f>SUM(I23:I28)</f>
        <v>0</v>
      </c>
      <c r="J22" s="279"/>
      <c r="O22" s="279"/>
      <c r="R22" s="134" t="s">
        <v>95</v>
      </c>
      <c r="S22" s="71"/>
      <c r="T22" s="123"/>
      <c r="U22" s="110"/>
      <c r="V22" s="110"/>
      <c r="W22" s="136">
        <f>SUM(W23:W28)</f>
        <v>-4</v>
      </c>
      <c r="X22" s="53"/>
      <c r="Y22" s="53"/>
      <c r="Z22" s="136">
        <f>SUM(Z23:Z28)</f>
        <v>0</v>
      </c>
      <c r="AA22" s="53"/>
    </row>
    <row r="23" spans="1:27" ht="15">
      <c r="A23" s="60" t="s">
        <v>122</v>
      </c>
      <c r="B23" s="60"/>
      <c r="C23" s="106">
        <f aca="true" t="shared" si="0" ref="C23:C28">IF(AND(F23=0,I23=0),"",CONCATENATE("2.2.",D23,"."))</f>
      </c>
      <c r="D23" s="108">
        <f>IF(AND(F23=0,I23=0),0,MAX(D$22:D22)+1)</f>
        <v>0</v>
      </c>
      <c r="E23" s="108"/>
      <c r="F23" s="117"/>
      <c r="G23" s="116"/>
      <c r="H23" s="116"/>
      <c r="I23" s="117"/>
      <c r="J23" s="280"/>
      <c r="O23" s="280"/>
      <c r="R23" s="60" t="s">
        <v>122</v>
      </c>
      <c r="S23" s="60"/>
      <c r="T23" s="106">
        <f aca="true" t="shared" si="1" ref="T23:T28">IF(AND(W23=0,Z23=0),"",CONCATENATE("2.2.",U23,"."))</f>
      </c>
      <c r="U23" s="108">
        <f>IF(AND(W23=0,Z23=0),0,MAX(U$22:U22)+1)</f>
        <v>0</v>
      </c>
      <c r="V23" s="108"/>
      <c r="W23" s="117"/>
      <c r="X23" s="116"/>
      <c r="Y23" s="116"/>
      <c r="Z23" s="117"/>
      <c r="AA23" s="116"/>
    </row>
    <row r="24" spans="1:27" ht="15">
      <c r="A24" s="60" t="s">
        <v>83</v>
      </c>
      <c r="B24" s="60"/>
      <c r="C24" s="106" t="str">
        <f t="shared" si="0"/>
        <v>2.2.1.</v>
      </c>
      <c r="D24" s="108">
        <f>IF(AND(F24=0,I24=0),0,MAX(D$22:D23)+1)</f>
        <v>1</v>
      </c>
      <c r="E24" s="108"/>
      <c r="F24" s="117">
        <v>-1</v>
      </c>
      <c r="G24" s="116"/>
      <c r="H24" s="116"/>
      <c r="I24" s="117"/>
      <c r="J24" s="280"/>
      <c r="O24" s="280"/>
      <c r="R24" s="60" t="s">
        <v>83</v>
      </c>
      <c r="S24" s="60"/>
      <c r="T24" s="106" t="str">
        <f t="shared" si="1"/>
        <v>2.2.1.</v>
      </c>
      <c r="U24" s="108">
        <f>IF(AND(W24=0,Z24=0),0,MAX(U$22:U23)+1)</f>
        <v>1</v>
      </c>
      <c r="V24" s="108"/>
      <c r="W24" s="117">
        <v>-1</v>
      </c>
      <c r="X24" s="116"/>
      <c r="Y24" s="116"/>
      <c r="Z24" s="117"/>
      <c r="AA24" s="116"/>
    </row>
    <row r="25" spans="1:27" ht="15">
      <c r="A25" s="60" t="s">
        <v>84</v>
      </c>
      <c r="B25" s="60"/>
      <c r="C25" s="106" t="str">
        <f t="shared" si="0"/>
        <v>2.2.2.</v>
      </c>
      <c r="D25" s="108">
        <f>IF(AND(F25=0,I25=0),0,MAX(D$22:D24)+1)</f>
        <v>2</v>
      </c>
      <c r="E25" s="108"/>
      <c r="F25" s="117">
        <v>-2</v>
      </c>
      <c r="G25" s="116"/>
      <c r="H25" s="116"/>
      <c r="I25" s="117"/>
      <c r="J25" s="280"/>
      <c r="O25" s="280"/>
      <c r="R25" s="60" t="s">
        <v>84</v>
      </c>
      <c r="S25" s="60"/>
      <c r="T25" s="106" t="str">
        <f t="shared" si="1"/>
        <v>2.2.2.</v>
      </c>
      <c r="U25" s="108">
        <f>IF(AND(W25=0,Z25=0),0,MAX(U$22:U24)+1)</f>
        <v>2</v>
      </c>
      <c r="V25" s="108"/>
      <c r="W25" s="117">
        <v>-2</v>
      </c>
      <c r="X25" s="116"/>
      <c r="Y25" s="116"/>
      <c r="Z25" s="117"/>
      <c r="AA25" s="116"/>
    </row>
    <row r="26" spans="1:27" ht="15">
      <c r="A26" s="60" t="s">
        <v>166</v>
      </c>
      <c r="B26" s="60"/>
      <c r="C26" s="106">
        <f t="shared" si="0"/>
      </c>
      <c r="D26" s="108">
        <f>IF(AND(F26=0,I26=0),0,MAX(D$22:D25)+1)</f>
        <v>0</v>
      </c>
      <c r="E26" s="108"/>
      <c r="F26" s="117"/>
      <c r="G26" s="116"/>
      <c r="H26" s="116"/>
      <c r="I26" s="117"/>
      <c r="J26" s="280"/>
      <c r="O26" s="280"/>
      <c r="R26" s="60" t="s">
        <v>166</v>
      </c>
      <c r="S26" s="60"/>
      <c r="T26" s="106">
        <f t="shared" si="1"/>
      </c>
      <c r="U26" s="108">
        <f>IF(AND(W26=0,Z26=0),0,MAX(U$22:U25)+1)</f>
        <v>0</v>
      </c>
      <c r="V26" s="108"/>
      <c r="W26" s="117"/>
      <c r="X26" s="116"/>
      <c r="Y26" s="116"/>
      <c r="Z26" s="117"/>
      <c r="AA26" s="116"/>
    </row>
    <row r="27" spans="1:27" ht="15">
      <c r="A27" s="60" t="s">
        <v>134</v>
      </c>
      <c r="B27" s="60"/>
      <c r="C27" s="106">
        <f t="shared" si="0"/>
      </c>
      <c r="D27" s="108">
        <f>IF(AND(F27=0,I27=0),0,MAX(D$22:D26)+1)</f>
        <v>0</v>
      </c>
      <c r="E27" s="108"/>
      <c r="F27" s="117"/>
      <c r="G27" s="116"/>
      <c r="H27" s="116"/>
      <c r="I27" s="117"/>
      <c r="J27" s="280"/>
      <c r="O27" s="280"/>
      <c r="R27" s="60" t="s">
        <v>134</v>
      </c>
      <c r="S27" s="60"/>
      <c r="T27" s="106">
        <f t="shared" si="1"/>
      </c>
      <c r="U27" s="108">
        <f>IF(AND(W27=0,Z27=0),0,MAX(U$22:U26)+1)</f>
        <v>0</v>
      </c>
      <c r="V27" s="108"/>
      <c r="W27" s="117"/>
      <c r="X27" s="116"/>
      <c r="Y27" s="116"/>
      <c r="Z27" s="117"/>
      <c r="AA27" s="116"/>
    </row>
    <row r="28" spans="1:27" ht="15">
      <c r="A28" s="60" t="s">
        <v>85</v>
      </c>
      <c r="B28" s="60"/>
      <c r="C28" s="106" t="str">
        <f t="shared" si="0"/>
        <v>2.2.3.</v>
      </c>
      <c r="D28" s="108">
        <f>IF(AND(F28=0,I28=0),0,MAX(D$22:D27)+1)</f>
        <v>3</v>
      </c>
      <c r="E28" s="108"/>
      <c r="F28" s="117">
        <v>-1</v>
      </c>
      <c r="G28" s="116"/>
      <c r="H28" s="116"/>
      <c r="I28" s="117"/>
      <c r="J28" s="280"/>
      <c r="O28" s="280"/>
      <c r="R28" s="60" t="s">
        <v>85</v>
      </c>
      <c r="S28" s="60"/>
      <c r="T28" s="106" t="str">
        <f t="shared" si="1"/>
        <v>2.2.3.</v>
      </c>
      <c r="U28" s="108">
        <f>IF(AND(W28=0,Z28=0),0,MAX(U$22:U27)+1)</f>
        <v>3</v>
      </c>
      <c r="V28" s="108"/>
      <c r="W28" s="117">
        <v>-1</v>
      </c>
      <c r="X28" s="116"/>
      <c r="Y28" s="116"/>
      <c r="Z28" s="117"/>
      <c r="AA28" s="116"/>
    </row>
    <row r="29" spans="1:27" ht="15">
      <c r="A29" s="60"/>
      <c r="B29" s="60"/>
      <c r="C29" s="58"/>
      <c r="D29" s="109"/>
      <c r="E29" s="109"/>
      <c r="F29" s="138"/>
      <c r="G29" s="53"/>
      <c r="H29" s="53"/>
      <c r="I29" s="138"/>
      <c r="J29" s="281"/>
      <c r="O29" s="281"/>
      <c r="R29" s="60"/>
      <c r="S29" s="60"/>
      <c r="T29" s="58"/>
      <c r="U29" s="109"/>
      <c r="V29" s="109"/>
      <c r="W29" s="138"/>
      <c r="X29" s="53"/>
      <c r="Y29" s="53"/>
      <c r="Z29" s="138"/>
      <c r="AA29" s="53"/>
    </row>
    <row r="30" spans="1:27" ht="15">
      <c r="A30" s="134" t="s">
        <v>96</v>
      </c>
      <c r="B30" s="71"/>
      <c r="C30" s="163" t="str">
        <f>IF(AND(F30=0,I30=0),"",CONCATENATE("2.2.",D30,"."))</f>
        <v>2.2.4.</v>
      </c>
      <c r="D30" s="108">
        <f>IF(AND(F30=0,I30=0),0,MAX(D$22:D29)+1)</f>
        <v>4</v>
      </c>
      <c r="E30" s="108"/>
      <c r="F30" s="136">
        <f>SUM(F31:F34)</f>
        <v>3</v>
      </c>
      <c r="G30" s="53"/>
      <c r="H30" s="53"/>
      <c r="I30" s="136">
        <f>SUM(I31:I34)</f>
        <v>0</v>
      </c>
      <c r="J30" s="279"/>
      <c r="O30" s="279"/>
      <c r="R30" s="134" t="s">
        <v>96</v>
      </c>
      <c r="S30" s="71"/>
      <c r="T30" s="163" t="str">
        <f>IF(AND(W30=0,Z30=0),"",CONCATENATE("2.2.",U30,"."))</f>
        <v>2.2.4.</v>
      </c>
      <c r="U30" s="108">
        <f>IF(AND(W30=0,Z30=0),0,MAX(U$22:U29)+1)</f>
        <v>4</v>
      </c>
      <c r="V30" s="108"/>
      <c r="W30" s="136">
        <f>SUM(W31:W34)</f>
        <v>3</v>
      </c>
      <c r="X30" s="53"/>
      <c r="Y30" s="53"/>
      <c r="Z30" s="136">
        <f>SUM(Z31:Z34)</f>
        <v>0</v>
      </c>
      <c r="AA30" s="53"/>
    </row>
    <row r="31" spans="1:27" ht="15">
      <c r="A31" s="60" t="s">
        <v>86</v>
      </c>
      <c r="B31" s="60"/>
      <c r="C31" s="58"/>
      <c r="D31" s="109"/>
      <c r="E31" s="109"/>
      <c r="F31" s="117"/>
      <c r="G31" s="116"/>
      <c r="H31" s="116"/>
      <c r="I31" s="117"/>
      <c r="J31" s="280"/>
      <c r="O31" s="280"/>
      <c r="R31" s="60" t="s">
        <v>86</v>
      </c>
      <c r="S31" s="60"/>
      <c r="T31" s="58"/>
      <c r="U31" s="109"/>
      <c r="V31" s="109"/>
      <c r="W31" s="117"/>
      <c r="X31" s="116"/>
      <c r="Y31" s="116"/>
      <c r="Z31" s="117"/>
      <c r="AA31" s="116"/>
    </row>
    <row r="32" spans="1:27" ht="15">
      <c r="A32" s="80" t="s">
        <v>135</v>
      </c>
      <c r="B32" s="80"/>
      <c r="C32" s="61"/>
      <c r="D32" s="147"/>
      <c r="E32" s="147"/>
      <c r="F32" s="117">
        <v>-1</v>
      </c>
      <c r="G32" s="116"/>
      <c r="H32" s="116"/>
      <c r="I32" s="117"/>
      <c r="J32" s="280"/>
      <c r="O32" s="280"/>
      <c r="R32" s="80" t="s">
        <v>135</v>
      </c>
      <c r="S32" s="80"/>
      <c r="T32" s="61"/>
      <c r="U32" s="147"/>
      <c r="V32" s="147"/>
      <c r="W32" s="117">
        <v>-1</v>
      </c>
      <c r="X32" s="116"/>
      <c r="Y32" s="116"/>
      <c r="Z32" s="117"/>
      <c r="AA32" s="116"/>
    </row>
    <row r="33" spans="1:27" ht="30">
      <c r="A33" s="80" t="s">
        <v>121</v>
      </c>
      <c r="B33" s="80"/>
      <c r="C33" s="61"/>
      <c r="D33" s="147"/>
      <c r="E33" s="147"/>
      <c r="F33" s="117">
        <v>4</v>
      </c>
      <c r="G33" s="116"/>
      <c r="H33" s="116"/>
      <c r="I33" s="117"/>
      <c r="J33" s="280"/>
      <c r="O33" s="280"/>
      <c r="R33" s="80" t="s">
        <v>121</v>
      </c>
      <c r="S33" s="80"/>
      <c r="T33" s="61"/>
      <c r="U33" s="147"/>
      <c r="V33" s="147"/>
      <c r="W33" s="117">
        <v>4</v>
      </c>
      <c r="X33" s="116"/>
      <c r="Y33" s="116"/>
      <c r="Z33" s="117"/>
      <c r="AA33" s="116"/>
    </row>
    <row r="34" spans="1:27" ht="15">
      <c r="A34" s="80" t="s">
        <v>114</v>
      </c>
      <c r="B34" s="80"/>
      <c r="C34" s="61"/>
      <c r="D34" s="147"/>
      <c r="E34" s="147"/>
      <c r="F34" s="117"/>
      <c r="G34" s="116"/>
      <c r="H34" s="116"/>
      <c r="I34" s="117"/>
      <c r="J34" s="280"/>
      <c r="O34" s="280"/>
      <c r="R34" s="80" t="s">
        <v>114</v>
      </c>
      <c r="S34" s="80"/>
      <c r="T34" s="61"/>
      <c r="U34" s="147"/>
      <c r="V34" s="147"/>
      <c r="W34" s="117"/>
      <c r="X34" s="116"/>
      <c r="Y34" s="116"/>
      <c r="Z34" s="117"/>
      <c r="AA34" s="116"/>
    </row>
    <row r="35" spans="1:27" ht="15">
      <c r="A35" s="60"/>
      <c r="B35" s="60"/>
      <c r="C35" s="53"/>
      <c r="D35" s="110"/>
      <c r="E35" s="110"/>
      <c r="F35" s="138"/>
      <c r="G35" s="137"/>
      <c r="H35" s="137"/>
      <c r="I35" s="138"/>
      <c r="J35" s="281"/>
      <c r="O35" s="281"/>
      <c r="R35" s="60"/>
      <c r="S35" s="60"/>
      <c r="T35" s="53"/>
      <c r="U35" s="110"/>
      <c r="V35" s="110"/>
      <c r="W35" s="138"/>
      <c r="X35" s="137"/>
      <c r="Y35" s="137"/>
      <c r="Z35" s="138"/>
      <c r="AA35" s="137"/>
    </row>
    <row r="36" spans="1:27" ht="15">
      <c r="A36" s="134" t="s">
        <v>136</v>
      </c>
      <c r="B36" s="71"/>
      <c r="C36" s="163" t="str">
        <f>IF(AND(F36=0,I36=0),"",CONCATENATE("2.2.",D36,"."))</f>
        <v>2.2.5.</v>
      </c>
      <c r="D36" s="108">
        <f>IF(AND(F36=0,I36=0),0,MAX(D$22:D35)+1)</f>
        <v>5</v>
      </c>
      <c r="E36" s="108"/>
      <c r="F36" s="115">
        <v>-1</v>
      </c>
      <c r="G36" s="116"/>
      <c r="H36" s="116"/>
      <c r="I36" s="115"/>
      <c r="J36" s="282"/>
      <c r="O36" s="282"/>
      <c r="R36" s="134" t="s">
        <v>136</v>
      </c>
      <c r="S36" s="71"/>
      <c r="T36" s="163" t="str">
        <f>IF(AND(W36=0,Z36=0),"",CONCATENATE("2.2.",U36,"."))</f>
        <v>2.2.5.</v>
      </c>
      <c r="U36" s="108">
        <f>IF(AND(W36=0,Z36=0),0,MAX(U$22:U35)+1)</f>
        <v>5</v>
      </c>
      <c r="V36" s="108"/>
      <c r="W36" s="115">
        <v>-1</v>
      </c>
      <c r="X36" s="116"/>
      <c r="Y36" s="116"/>
      <c r="Z36" s="115"/>
      <c r="AA36" s="116"/>
    </row>
    <row r="37" spans="1:27" ht="15">
      <c r="A37" s="71"/>
      <c r="B37" s="71"/>
      <c r="C37" s="53"/>
      <c r="D37" s="110"/>
      <c r="E37" s="110"/>
      <c r="F37" s="138"/>
      <c r="G37" s="137"/>
      <c r="H37" s="137"/>
      <c r="I37" s="148"/>
      <c r="J37" s="279"/>
      <c r="O37" s="279"/>
      <c r="R37" s="71"/>
      <c r="S37" s="71"/>
      <c r="T37" s="53"/>
      <c r="U37" s="110"/>
      <c r="V37" s="110"/>
      <c r="W37" s="138"/>
      <c r="X37" s="137"/>
      <c r="Y37" s="137"/>
      <c r="Z37" s="148"/>
      <c r="AA37" s="137"/>
    </row>
    <row r="38" spans="1:27" ht="15.75" thickBot="1">
      <c r="A38" s="143" t="s">
        <v>142</v>
      </c>
      <c r="B38" s="47"/>
      <c r="C38" s="144"/>
      <c r="D38" s="110"/>
      <c r="E38" s="110"/>
      <c r="F38" s="145">
        <f>F22+F30+F36</f>
        <v>-2</v>
      </c>
      <c r="G38" s="137"/>
      <c r="H38" s="137"/>
      <c r="I38" s="145">
        <f>I22+I30+I36</f>
        <v>0</v>
      </c>
      <c r="J38" s="279"/>
      <c r="O38" s="279"/>
      <c r="R38" s="143" t="s">
        <v>142</v>
      </c>
      <c r="S38" s="47"/>
      <c r="T38" s="144"/>
      <c r="U38" s="110"/>
      <c r="V38" s="110"/>
      <c r="W38" s="145">
        <f>W22+W30+W36</f>
        <v>-2</v>
      </c>
      <c r="X38" s="137"/>
      <c r="Y38" s="137"/>
      <c r="Z38" s="145">
        <f>Z22+Z30+Z36</f>
        <v>0</v>
      </c>
      <c r="AA38" s="137"/>
    </row>
    <row r="39" spans="1:27" ht="15.75" thickTop="1">
      <c r="A39" s="71"/>
      <c r="B39" s="71"/>
      <c r="C39" s="53"/>
      <c r="D39" s="110"/>
      <c r="E39" s="110"/>
      <c r="F39" s="138"/>
      <c r="G39" s="137"/>
      <c r="H39" s="137"/>
      <c r="I39" s="148"/>
      <c r="J39" s="279"/>
      <c r="O39" s="279"/>
      <c r="R39" s="71"/>
      <c r="S39" s="71"/>
      <c r="T39" s="53"/>
      <c r="U39" s="110"/>
      <c r="V39" s="110"/>
      <c r="W39" s="138"/>
      <c r="X39" s="137"/>
      <c r="Y39" s="137"/>
      <c r="Z39" s="148"/>
      <c r="AA39" s="137"/>
    </row>
    <row r="40" spans="1:27" ht="30">
      <c r="A40" s="149" t="s">
        <v>12</v>
      </c>
      <c r="B40" s="71"/>
      <c r="C40" s="163" t="str">
        <f>IF(AND(F40=0,I40=0),"",CONCATENATE("2.2.",D40,"."))</f>
        <v>2.2.6.</v>
      </c>
      <c r="D40" s="108">
        <f>IF(AND(F40=0,I40=0),0,MAX(D$22:D39)+1)</f>
        <v>6</v>
      </c>
      <c r="E40" s="108"/>
      <c r="F40" s="115">
        <v>5</v>
      </c>
      <c r="G40" s="116"/>
      <c r="H40" s="116"/>
      <c r="I40" s="115"/>
      <c r="J40" s="282"/>
      <c r="O40" s="282"/>
      <c r="R40" s="149" t="s">
        <v>12</v>
      </c>
      <c r="S40" s="71"/>
      <c r="T40" s="163" t="str">
        <f>IF(AND(W40=0,Z40=0),"",CONCATENATE("2.2.",U40,"."))</f>
        <v>2.2.6.</v>
      </c>
      <c r="U40" s="108">
        <f>IF(AND(W40=0,Z40=0),0,MAX(U$22:U39)+1)</f>
        <v>6</v>
      </c>
      <c r="V40" s="108"/>
      <c r="W40" s="115">
        <v>5</v>
      </c>
      <c r="X40" s="116"/>
      <c r="Y40" s="116"/>
      <c r="Z40" s="115"/>
      <c r="AA40" s="116"/>
    </row>
    <row r="41" spans="1:27" ht="15">
      <c r="A41" s="71"/>
      <c r="B41" s="71"/>
      <c r="C41" s="53"/>
      <c r="D41" s="110"/>
      <c r="E41" s="110"/>
      <c r="F41" s="138"/>
      <c r="G41" s="137"/>
      <c r="H41" s="137"/>
      <c r="I41" s="148"/>
      <c r="J41" s="279"/>
      <c r="O41" s="279"/>
      <c r="R41" s="71"/>
      <c r="S41" s="71"/>
      <c r="T41" s="53"/>
      <c r="U41" s="110"/>
      <c r="V41" s="110"/>
      <c r="W41" s="138"/>
      <c r="X41" s="137"/>
      <c r="Y41" s="137"/>
      <c r="Z41" s="148"/>
      <c r="AA41" s="137"/>
    </row>
    <row r="42" spans="1:27" ht="15.75" thickBot="1">
      <c r="A42" s="143" t="s">
        <v>139</v>
      </c>
      <c r="B42" s="47"/>
      <c r="C42" s="144"/>
      <c r="D42" s="110"/>
      <c r="E42" s="110"/>
      <c r="F42" s="145">
        <f>F18+F38+F40</f>
        <v>9</v>
      </c>
      <c r="G42" s="137"/>
      <c r="H42" s="137"/>
      <c r="I42" s="145">
        <f>I18+I38+I40</f>
        <v>0</v>
      </c>
      <c r="J42" s="279"/>
      <c r="O42" s="279"/>
      <c r="R42" s="143" t="s">
        <v>139</v>
      </c>
      <c r="S42" s="47"/>
      <c r="T42" s="144"/>
      <c r="U42" s="110"/>
      <c r="V42" s="110"/>
      <c r="W42" s="145">
        <f>W18+W38+W40</f>
        <v>9</v>
      </c>
      <c r="X42" s="137"/>
      <c r="Y42" s="137"/>
      <c r="Z42" s="145">
        <f>Z18+Z38+Z40</f>
        <v>0</v>
      </c>
      <c r="AA42" s="137"/>
    </row>
    <row r="43" spans="1:27" ht="15.75" thickTop="1">
      <c r="A43" s="71"/>
      <c r="B43" s="71"/>
      <c r="C43" s="53"/>
      <c r="D43" s="110"/>
      <c r="E43" s="110"/>
      <c r="F43" s="53"/>
      <c r="G43" s="137"/>
      <c r="H43" s="137"/>
      <c r="I43" s="53"/>
      <c r="J43" s="76"/>
      <c r="O43" s="76"/>
      <c r="R43" s="71"/>
      <c r="S43" s="71"/>
      <c r="T43" s="53"/>
      <c r="U43" s="110"/>
      <c r="V43" s="110"/>
      <c r="W43" s="53"/>
      <c r="X43" s="137"/>
      <c r="Y43" s="137"/>
      <c r="Z43" s="53"/>
      <c r="AA43" s="137"/>
    </row>
    <row r="44" spans="1:27" ht="15">
      <c r="A44" s="134" t="s">
        <v>120</v>
      </c>
      <c r="B44" s="71"/>
      <c r="C44" s="135" t="str">
        <f>IF(AND(F44=0,I44=0),"",CONCATENATE("2.2.",D44,"."))</f>
        <v>2.2.7.</v>
      </c>
      <c r="D44" s="109">
        <f>IF(AND(F44=0,I44=0),0,MAX(D$22:D43)+1)</f>
        <v>7</v>
      </c>
      <c r="E44" s="109"/>
      <c r="F44" s="136">
        <f>SUM(F45:F46)</f>
        <v>-2</v>
      </c>
      <c r="G44" s="137"/>
      <c r="H44" s="137"/>
      <c r="I44" s="136">
        <f>SUM(I45:I46)</f>
        <v>0</v>
      </c>
      <c r="J44" s="279"/>
      <c r="O44" s="279"/>
      <c r="R44" s="134" t="s">
        <v>120</v>
      </c>
      <c r="S44" s="71"/>
      <c r="T44" s="135" t="str">
        <f>IF(AND(W44=0,Z44=0),"",CONCATENATE("2.2.",U44,"."))</f>
        <v>2.2.7.</v>
      </c>
      <c r="U44" s="109">
        <f>IF(AND(W44=0,Z44=0),0,MAX(U$22:U43)+1)</f>
        <v>7</v>
      </c>
      <c r="V44" s="109"/>
      <c r="W44" s="136">
        <f>SUM(W45:W46)</f>
        <v>-2</v>
      </c>
      <c r="X44" s="137"/>
      <c r="Y44" s="137"/>
      <c r="Z44" s="136">
        <f>SUM(Z45:Z46)</f>
        <v>0</v>
      </c>
      <c r="AA44" s="137"/>
    </row>
    <row r="45" spans="1:27" ht="15">
      <c r="A45" s="150" t="s">
        <v>119</v>
      </c>
      <c r="B45" s="150"/>
      <c r="C45" s="53"/>
      <c r="D45" s="110"/>
      <c r="E45" s="110"/>
      <c r="F45" s="117">
        <v>-2</v>
      </c>
      <c r="G45" s="116"/>
      <c r="H45" s="116"/>
      <c r="I45" s="117"/>
      <c r="J45" s="280"/>
      <c r="O45" s="280"/>
      <c r="R45" s="150" t="s">
        <v>119</v>
      </c>
      <c r="S45" s="150"/>
      <c r="T45" s="53"/>
      <c r="U45" s="110"/>
      <c r="V45" s="110"/>
      <c r="W45" s="117">
        <v>-2</v>
      </c>
      <c r="X45" s="116"/>
      <c r="Y45" s="116"/>
      <c r="Z45" s="117"/>
      <c r="AA45" s="116"/>
    </row>
    <row r="46" spans="1:27" ht="15">
      <c r="A46" s="150" t="s">
        <v>140</v>
      </c>
      <c r="B46" s="150"/>
      <c r="C46" s="53"/>
      <c r="D46" s="110"/>
      <c r="E46" s="110"/>
      <c r="F46" s="117"/>
      <c r="G46" s="116"/>
      <c r="H46" s="116"/>
      <c r="I46" s="117"/>
      <c r="J46" s="280"/>
      <c r="O46" s="280"/>
      <c r="R46" s="150" t="s">
        <v>140</v>
      </c>
      <c r="S46" s="150"/>
      <c r="T46" s="53"/>
      <c r="U46" s="110"/>
      <c r="V46" s="110"/>
      <c r="W46" s="117"/>
      <c r="X46" s="116"/>
      <c r="Y46" s="116"/>
      <c r="Z46" s="117"/>
      <c r="AA46" s="116"/>
    </row>
    <row r="47" spans="1:27" ht="15">
      <c r="A47" s="60"/>
      <c r="B47" s="60"/>
      <c r="C47" s="53"/>
      <c r="D47" s="110"/>
      <c r="E47" s="110"/>
      <c r="F47" s="61"/>
      <c r="G47" s="137"/>
      <c r="H47" s="137"/>
      <c r="I47" s="61"/>
      <c r="J47" s="283"/>
      <c r="O47" s="283"/>
      <c r="R47" s="60"/>
      <c r="S47" s="60"/>
      <c r="T47" s="53"/>
      <c r="U47" s="110"/>
      <c r="V47" s="110"/>
      <c r="W47" s="61"/>
      <c r="X47" s="137"/>
      <c r="Y47" s="137"/>
      <c r="Z47" s="61"/>
      <c r="AA47" s="137"/>
    </row>
    <row r="48" spans="1:27" ht="15.75" thickBot="1">
      <c r="A48" s="143" t="s">
        <v>141</v>
      </c>
      <c r="B48" s="47"/>
      <c r="C48" s="144"/>
      <c r="D48" s="110"/>
      <c r="E48" s="110"/>
      <c r="F48" s="145">
        <f>F42+F44</f>
        <v>7</v>
      </c>
      <c r="G48" s="137"/>
      <c r="H48" s="137"/>
      <c r="I48" s="145">
        <f>I42+I44</f>
        <v>0</v>
      </c>
      <c r="J48" s="279"/>
      <c r="O48" s="279"/>
      <c r="R48" s="143" t="s">
        <v>141</v>
      </c>
      <c r="S48" s="47"/>
      <c r="T48" s="144"/>
      <c r="U48" s="110"/>
      <c r="V48" s="110"/>
      <c r="W48" s="145">
        <f>W42+W44</f>
        <v>7</v>
      </c>
      <c r="X48" s="137"/>
      <c r="Y48" s="137"/>
      <c r="Z48" s="145">
        <f>Z42+Z44</f>
        <v>0</v>
      </c>
      <c r="AA48" s="137"/>
    </row>
    <row r="49" spans="1:27" ht="16.5" thickBot="1" thickTop="1">
      <c r="A49" s="143" t="s">
        <v>13</v>
      </c>
      <c r="B49" s="47"/>
      <c r="C49" s="144"/>
      <c r="D49" s="110"/>
      <c r="E49" s="110"/>
      <c r="F49" s="219">
        <f>F48-F50</f>
        <v>7</v>
      </c>
      <c r="G49" s="137"/>
      <c r="H49" s="137"/>
      <c r="I49" s="219">
        <f>I48-I50</f>
        <v>0</v>
      </c>
      <c r="J49" s="284"/>
      <c r="O49" s="284"/>
      <c r="R49" s="143" t="s">
        <v>13</v>
      </c>
      <c r="S49" s="47"/>
      <c r="T49" s="144"/>
      <c r="U49" s="110"/>
      <c r="V49" s="110"/>
      <c r="W49" s="219">
        <f>W48-W50</f>
        <v>7</v>
      </c>
      <c r="X49" s="137"/>
      <c r="Y49" s="137"/>
      <c r="Z49" s="219">
        <f>Z48-Z50</f>
        <v>0</v>
      </c>
      <c r="AA49" s="137"/>
    </row>
    <row r="50" spans="1:27" ht="16.5" thickBot="1" thickTop="1">
      <c r="A50" s="143" t="s">
        <v>14</v>
      </c>
      <c r="B50" s="47"/>
      <c r="C50" s="144"/>
      <c r="D50" s="110"/>
      <c r="E50" s="110"/>
      <c r="F50" s="145"/>
      <c r="G50" s="137"/>
      <c r="H50" s="137"/>
      <c r="I50" s="145"/>
      <c r="J50" s="279"/>
      <c r="O50" s="279"/>
      <c r="R50" s="143" t="s">
        <v>14</v>
      </c>
      <c r="S50" s="47"/>
      <c r="T50" s="144"/>
      <c r="U50" s="110"/>
      <c r="V50" s="110"/>
      <c r="W50" s="145"/>
      <c r="X50" s="137"/>
      <c r="Y50" s="137"/>
      <c r="Z50" s="145"/>
      <c r="AA50" s="137"/>
    </row>
    <row r="51" spans="1:27" ht="15.75" thickTop="1">
      <c r="A51" s="359" t="str">
        <f>IF(AND(F$51="",I$51=""),"","Разлика в резултата между ОПР и БАЛАНСА!")</f>
        <v>Разлика в резултата между ОПР и БАЛАНСА!</v>
      </c>
      <c r="B51" s="359"/>
      <c r="C51" s="359"/>
      <c r="D51" s="151"/>
      <c r="E51" s="151"/>
      <c r="F51" s="152">
        <f>IF(F49=баланс!F66,"",F49-баланс!F66)</f>
        <v>36</v>
      </c>
      <c r="G51" s="153"/>
      <c r="H51" s="153"/>
      <c r="I51" s="152">
        <f>IF(НАЧАЛО!AB$3=1,IF(I$49=баланс!I$66,"",ОПР!I51-баланс!I$66),"")</f>
      </c>
      <c r="J51" s="279"/>
      <c r="O51" s="279"/>
      <c r="R51" s="359" t="str">
        <f>IF(AND(W$51="",Z$51=""),"","Разлика в резултата между ОПР и БАЛАНСА!")</f>
        <v>Разлика в резултата между ОПР и БАЛАНСА!</v>
      </c>
      <c r="S51" s="359"/>
      <c r="T51" s="359"/>
      <c r="U51" s="151"/>
      <c r="V51" s="151"/>
      <c r="W51" s="152">
        <f>IF(W49=баланс!X66,"",W49-баланс!X66)</f>
        <v>7</v>
      </c>
      <c r="X51" s="153"/>
      <c r="Y51" s="153"/>
      <c r="Z51" s="152">
        <f>IF(НАЧАЛО!AT$3=1,IF(Z$49=баланс!AA$66,"",ОПР!AA51-баланс!AA$66),"")</f>
      </c>
      <c r="AA51" s="153"/>
    </row>
    <row r="52" spans="1:27" ht="15">
      <c r="A52" s="310" t="str">
        <f>CONCATENATE("Приложенията от страница ",НАЧАЛО!P52," до страница ",НАЧАЛО!R52," са неразделна част от финансовия отчет.")</f>
        <v>Приложенията от страница 6 до страница 35 са неразделна част от финансовия отчет.</v>
      </c>
      <c r="B52" s="310"/>
      <c r="C52" s="310"/>
      <c r="D52" s="310"/>
      <c r="E52" s="310"/>
      <c r="F52" s="310"/>
      <c r="G52" s="310"/>
      <c r="H52" s="310"/>
      <c r="I52" s="310"/>
      <c r="J52" s="285"/>
      <c r="L52" s="316" t="s">
        <v>43</v>
      </c>
      <c r="M52" s="316" t="str">
        <f>IF(НАЧАЛО!O34=JK61,"СОП „Ейч Ел Би България” ООД",НАЧАЛО!C51)</f>
        <v>СОП „Ейч Ел Би България” ООД</v>
      </c>
      <c r="N52" s="316" t="s">
        <v>9</v>
      </c>
      <c r="O52" s="285"/>
      <c r="R52" s="310" t="str">
        <f>CONCATENATE("Приложенията от страница ",НАЧАЛО!AG50," до страница ",НАЧАЛО!AI50," са неразделна част от финансовия отчет.")</f>
        <v>Приложенията от страница  до страница  са неразделна част от финансовия отчет.</v>
      </c>
      <c r="S52" s="310"/>
      <c r="T52" s="310"/>
      <c r="U52" s="310"/>
      <c r="V52" s="310"/>
      <c r="W52" s="310"/>
      <c r="X52" s="310"/>
      <c r="Y52" s="310"/>
      <c r="Z52" s="310"/>
      <c r="AA52" s="310"/>
    </row>
    <row r="53" spans="1:27" ht="15">
      <c r="A53" s="358" t="str">
        <f>IF(AND(F$51="",I$51=""),"","Резултат в БАЛАНСА:")</f>
        <v>Резултат в БАЛАНСА:</v>
      </c>
      <c r="B53" s="358"/>
      <c r="C53" s="358"/>
      <c r="D53" s="154"/>
      <c r="E53" s="154"/>
      <c r="F53" s="155">
        <f>IF(F$48=баланс!F$66,"",баланс!F$66)</f>
        <v>-29</v>
      </c>
      <c r="G53" s="156"/>
      <c r="H53" s="156"/>
      <c r="I53" s="155">
        <f>IF(НАЧАЛО!AB$3=1,IF(I$48=баланс!I$66,"",баланс!I$66),"")</f>
      </c>
      <c r="J53" s="279"/>
      <c r="L53" s="316"/>
      <c r="M53" s="316">
        <f ca="1">TODAY()</f>
        <v>39941</v>
      </c>
      <c r="N53" s="316">
        <v>40268</v>
      </c>
      <c r="O53" s="279"/>
      <c r="R53" s="358" t="str">
        <f>IF(AND(W$51="",Z$51=""),"","Резултат в БАЛАНСА:")</f>
        <v>Резултат в БАЛАНСА:</v>
      </c>
      <c r="S53" s="358"/>
      <c r="T53" s="358"/>
      <c r="U53" s="154"/>
      <c r="V53" s="154"/>
      <c r="W53" s="155">
        <f>IF(W$48=баланс!X$66,"",баланс!X$66)</f>
        <v>0</v>
      </c>
      <c r="X53" s="156"/>
      <c r="Y53" s="156"/>
      <c r="Z53" s="155">
        <f>IF(НАЧАЛО!AT$3=1,IF(Z$48=баланс!AA$66,"",баланс!AA$66),"")</f>
      </c>
      <c r="AA53" s="156"/>
    </row>
    <row r="54" spans="1:27" ht="15">
      <c r="A54" s="95" t="str">
        <f>НАЧАЛО!$A$44</f>
        <v>Представляващ:</v>
      </c>
      <c r="B54" s="157"/>
      <c r="C54" s="158"/>
      <c r="D54" s="158"/>
      <c r="E54" s="158"/>
      <c r="F54" s="101"/>
      <c r="G54" s="101"/>
      <c r="H54" s="101"/>
      <c r="I54" s="101"/>
      <c r="J54" s="286"/>
      <c r="L54" s="316" t="s">
        <v>42</v>
      </c>
      <c r="M54" s="316" t="str">
        <f>IF(НАЧАЛО!O34=JK61,"СОП „Ейч Ел Би България” ООД",ОПР!A63)</f>
        <v>СОП „Ейч Ел Би България” ООД</v>
      </c>
      <c r="N54" s="316" t="str">
        <f>N52</f>
        <v>СОП „Ейч Ел Би България” ООД</v>
      </c>
      <c r="O54" s="286"/>
      <c r="R54" s="95" t="str">
        <f>НАЧАЛО!$A$44</f>
        <v>Представляващ:</v>
      </c>
      <c r="S54" s="157"/>
      <c r="T54" s="158"/>
      <c r="U54" s="158"/>
      <c r="V54" s="158"/>
      <c r="W54" s="101"/>
      <c r="X54" s="101"/>
      <c r="Y54" s="101"/>
      <c r="Z54" s="101"/>
      <c r="AA54" s="101"/>
    </row>
    <row r="55" spans="1:27" ht="15">
      <c r="A55" s="99" t="str">
        <f>НАЧАЛО!$A$46</f>
        <v>Явор Хайтов, Красимир Сланчев</v>
      </c>
      <c r="B55" s="159"/>
      <c r="C55" s="101"/>
      <c r="D55" s="101"/>
      <c r="E55" s="101"/>
      <c r="F55" s="101"/>
      <c r="G55" s="101"/>
      <c r="H55" s="101"/>
      <c r="I55" s="101"/>
      <c r="J55" s="286"/>
      <c r="L55" s="316"/>
      <c r="M55" s="316">
        <f>M53</f>
        <v>39941</v>
      </c>
      <c r="N55" s="316">
        <f>N53</f>
        <v>40268</v>
      </c>
      <c r="O55" s="286"/>
      <c r="R55" s="99" t="str">
        <f>НАЧАЛО!$A$46</f>
        <v>Явор Хайтов, Красимир Сланчев</v>
      </c>
      <c r="S55" s="159"/>
      <c r="T55" s="101"/>
      <c r="U55" s="101"/>
      <c r="V55" s="101"/>
      <c r="W55" s="101"/>
      <c r="X55" s="101"/>
      <c r="Y55" s="101"/>
      <c r="Z55" s="101"/>
      <c r="AA55" s="101"/>
    </row>
    <row r="56" spans="1:27" ht="12.75">
      <c r="A56" s="101"/>
      <c r="B56" s="101"/>
      <c r="C56" s="101"/>
      <c r="D56" s="101"/>
      <c r="E56" s="101"/>
      <c r="F56" s="101"/>
      <c r="G56" s="101"/>
      <c r="H56" s="101"/>
      <c r="I56" s="101"/>
      <c r="J56" s="286"/>
      <c r="L56" s="316" t="s">
        <v>44</v>
      </c>
      <c r="M56" s="316" t="str">
        <f>IF(НАЧАЛО!O34=JK61,"СОП „Ейч Ел Би България” ООД",баланс!A117)</f>
        <v>СОП „Ейч Ел Би България” ООД</v>
      </c>
      <c r="N56" s="316" t="str">
        <f>N52</f>
        <v>СОП „Ейч Ел Би България” ООД</v>
      </c>
      <c r="O56" s="286"/>
      <c r="R56" s="101"/>
      <c r="S56" s="101"/>
      <c r="T56" s="101"/>
      <c r="U56" s="101"/>
      <c r="V56" s="101"/>
      <c r="W56" s="101"/>
      <c r="X56" s="101"/>
      <c r="Y56" s="101"/>
      <c r="Z56" s="101"/>
      <c r="AA56" s="101"/>
    </row>
    <row r="57" spans="1:27" ht="15">
      <c r="A57" s="100" t="str">
        <f>НАЧАЛО!$F$44</f>
        <v>Съставител:</v>
      </c>
      <c r="B57" s="100"/>
      <c r="C57" s="160"/>
      <c r="D57" s="160"/>
      <c r="E57" s="160"/>
      <c r="F57" s="161"/>
      <c r="G57" s="101"/>
      <c r="H57" s="101"/>
      <c r="I57" s="161"/>
      <c r="J57" s="275"/>
      <c r="L57" s="316"/>
      <c r="M57" s="316">
        <f>M53</f>
        <v>39941</v>
      </c>
      <c r="N57" s="316">
        <f>N53</f>
        <v>40268</v>
      </c>
      <c r="O57" s="275"/>
      <c r="R57" s="100" t="str">
        <f>НАЧАЛО!$F$44</f>
        <v>Съставител:</v>
      </c>
      <c r="S57" s="100"/>
      <c r="T57" s="160"/>
      <c r="U57" s="160"/>
      <c r="V57" s="160"/>
      <c r="W57" s="161"/>
      <c r="X57" s="101"/>
      <c r="Y57" s="101"/>
      <c r="Z57" s="161"/>
      <c r="AA57" s="101"/>
    </row>
    <row r="58" spans="1:27" ht="15">
      <c r="A58" s="103" t="str">
        <f>НАЧАЛО!$F$46</f>
        <v>Ралица Кайджиева</v>
      </c>
      <c r="B58" s="102"/>
      <c r="C58" s="160"/>
      <c r="D58" s="160"/>
      <c r="E58" s="160"/>
      <c r="F58" s="161"/>
      <c r="G58" s="101"/>
      <c r="H58" s="101"/>
      <c r="I58" s="161"/>
      <c r="J58" s="275"/>
      <c r="L58" s="316" t="s">
        <v>45</v>
      </c>
      <c r="M58" s="316" t="str">
        <f>IF(НАЧАЛО!O34=JK61,"СОП „Ейч Ел Би България” ООД",ОПП!A57)</f>
        <v>СОП „Ейч Ел Би България” ООД</v>
      </c>
      <c r="N58" s="316" t="str">
        <f>N52</f>
        <v>СОП „Ейч Ел Би България” ООД</v>
      </c>
      <c r="O58" s="275"/>
      <c r="R58" s="103" t="str">
        <f>НАЧАЛО!$F$46</f>
        <v>Ралица Кайджиева</v>
      </c>
      <c r="S58" s="102"/>
      <c r="T58" s="160"/>
      <c r="U58" s="160"/>
      <c r="V58" s="160"/>
      <c r="W58" s="161"/>
      <c r="X58" s="101"/>
      <c r="Y58" s="101"/>
      <c r="Z58" s="161"/>
      <c r="AA58" s="101"/>
    </row>
    <row r="59" spans="1:27" ht="15">
      <c r="A59" s="100"/>
      <c r="B59" s="100"/>
      <c r="C59" s="160"/>
      <c r="D59" s="160"/>
      <c r="E59" s="160"/>
      <c r="F59" s="161"/>
      <c r="G59" s="101"/>
      <c r="H59" s="101"/>
      <c r="I59" s="161"/>
      <c r="J59" s="275"/>
      <c r="L59" s="316"/>
      <c r="M59" s="316">
        <f>M53</f>
        <v>39941</v>
      </c>
      <c r="N59" s="316">
        <f>N53</f>
        <v>40268</v>
      </c>
      <c r="O59" s="275"/>
      <c r="R59" s="100"/>
      <c r="S59" s="100"/>
      <c r="T59" s="160"/>
      <c r="U59" s="160"/>
      <c r="V59" s="160"/>
      <c r="W59" s="161"/>
      <c r="X59" s="101"/>
      <c r="Y59" s="101"/>
      <c r="Z59" s="161"/>
      <c r="AA59" s="101"/>
    </row>
    <row r="60" spans="1:27" ht="15">
      <c r="A60" s="103" t="str">
        <f>НАЧАЛО!$C$49</f>
        <v>Заверил:</v>
      </c>
      <c r="B60" s="102"/>
      <c r="C60" s="160"/>
      <c r="D60" s="160"/>
      <c r="E60" s="160"/>
      <c r="F60" s="161"/>
      <c r="G60" s="101"/>
      <c r="H60" s="101"/>
      <c r="I60" s="161"/>
      <c r="J60" s="275"/>
      <c r="L60" s="316" t="s">
        <v>46</v>
      </c>
      <c r="M60" s="316" t="str">
        <f>IF(НАЧАЛО!O34=JK61,"СОП „Ейч Ел Би България” ООД",СК!A72)</f>
        <v>СОП „Ейч Ел Би България” ООД</v>
      </c>
      <c r="N60" s="316" t="str">
        <f>N52</f>
        <v>СОП „Ейч Ел Би България” ООД</v>
      </c>
      <c r="O60" s="275"/>
      <c r="R60" s="103" t="str">
        <f>НАЧАЛО!$C$49</f>
        <v>Заверил:</v>
      </c>
      <c r="S60" s="102"/>
      <c r="T60" s="160"/>
      <c r="U60" s="160"/>
      <c r="V60" s="160"/>
      <c r="W60" s="161"/>
      <c r="X60" s="101"/>
      <c r="Y60" s="101"/>
      <c r="Z60" s="161"/>
      <c r="AA60" s="101"/>
    </row>
    <row r="61" spans="1:27" ht="15">
      <c r="A61" s="99" t="str">
        <f>НАЧАЛО!$C$51</f>
        <v>СОП „Ейч Ел Би България” ООД</v>
      </c>
      <c r="B61" s="101"/>
      <c r="C61" s="160"/>
      <c r="D61" s="160"/>
      <c r="E61" s="160"/>
      <c r="F61" s="161"/>
      <c r="G61" s="101"/>
      <c r="H61" s="101"/>
      <c r="I61" s="161"/>
      <c r="J61" s="275"/>
      <c r="L61" s="316"/>
      <c r="M61" s="316">
        <f>M53</f>
        <v>39941</v>
      </c>
      <c r="N61" s="316">
        <f>N53</f>
        <v>40268</v>
      </c>
      <c r="O61" s="275"/>
      <c r="R61" s="99" t="str">
        <f>НАЧАЛО!$C$51</f>
        <v>СОП „Ейч Ел Би България” ООД</v>
      </c>
      <c r="S61" s="101"/>
      <c r="T61" s="160"/>
      <c r="U61" s="160"/>
      <c r="V61" s="160"/>
      <c r="W61" s="161"/>
      <c r="X61" s="101"/>
      <c r="Y61" s="101"/>
      <c r="Z61" s="161"/>
      <c r="AA61" s="101"/>
    </row>
    <row r="62" spans="1:27" ht="18.75">
      <c r="A62" s="105"/>
      <c r="B62" s="162"/>
      <c r="C62" s="160"/>
      <c r="D62" s="160"/>
      <c r="E62" s="160"/>
      <c r="F62" s="161"/>
      <c r="G62" s="101"/>
      <c r="H62" s="101"/>
      <c r="I62" s="161"/>
      <c r="J62" s="275"/>
      <c r="L62" s="316" t="s">
        <v>62</v>
      </c>
      <c r="M62" s="316" t="str">
        <f>НАЧАЛО!O34</f>
        <v>С</v>
      </c>
      <c r="N62" s="316" t="s">
        <v>58</v>
      </c>
      <c r="O62" s="275"/>
      <c r="R62" s="105"/>
      <c r="S62" s="162"/>
      <c r="T62" s="160"/>
      <c r="U62" s="160"/>
      <c r="V62" s="160"/>
      <c r="W62" s="161"/>
      <c r="X62" s="101"/>
      <c r="Y62" s="101"/>
      <c r="Z62" s="161"/>
      <c r="AA62" s="101"/>
    </row>
    <row r="63" spans="1:27" ht="15">
      <c r="A63" s="99" t="str">
        <f>НАЧАЛО!$C$57</f>
        <v>София, 21 април 2009 г.</v>
      </c>
      <c r="B63" s="101"/>
      <c r="C63" s="160"/>
      <c r="D63" s="160"/>
      <c r="E63" s="160"/>
      <c r="F63" s="161"/>
      <c r="G63" s="101"/>
      <c r="H63" s="101"/>
      <c r="I63" s="161"/>
      <c r="J63" s="275"/>
      <c r="O63" s="275"/>
      <c r="R63" s="99" t="str">
        <f>НАЧАЛО!$C$57</f>
        <v>София, 21 април 2009 г.</v>
      </c>
      <c r="S63" s="101"/>
      <c r="T63" s="160"/>
      <c r="U63" s="160"/>
      <c r="V63" s="160"/>
      <c r="W63" s="161"/>
      <c r="X63" s="101"/>
      <c r="Y63" s="101"/>
      <c r="Z63" s="161"/>
      <c r="AA63" s="101"/>
    </row>
    <row r="64" spans="1:19" ht="15">
      <c r="A64" s="119"/>
      <c r="B64" s="119"/>
      <c r="R64" s="119"/>
      <c r="S64" s="119"/>
    </row>
    <row r="66" spans="1:19" ht="15">
      <c r="A66" s="122"/>
      <c r="B66" s="122"/>
      <c r="R66" s="122"/>
      <c r="S66" s="122"/>
    </row>
  </sheetData>
  <sheetProtection password="E491" sheet="1" objects="1"/>
  <mergeCells count="4">
    <mergeCell ref="A51:C51"/>
    <mergeCell ref="A53:C53"/>
    <mergeCell ref="R51:T51"/>
    <mergeCell ref="R53:T53"/>
  </mergeCells>
  <conditionalFormatting sqref="A1:I63 R1:AA63">
    <cfRule type="expression" priority="23" dxfId="0" stopIfTrue="1">
      <formula>$M$53&gt;$N$53</formula>
    </cfRule>
    <cfRule type="expression" priority="24" dxfId="0" stopIfTrue="1">
      <formula>$M$52&lt;&gt;$N$52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Мира</cp:lastModifiedBy>
  <cp:lastPrinted>2009-05-08T10:49:05Z</cp:lastPrinted>
  <dcterms:created xsi:type="dcterms:W3CDTF">2003-02-07T14:36:34Z</dcterms:created>
  <dcterms:modified xsi:type="dcterms:W3CDTF">2009-05-08T14:57:38Z</dcterms:modified>
  <cp:category/>
  <cp:version/>
  <cp:contentType/>
  <cp:contentStatus/>
</cp:coreProperties>
</file>