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165" windowWidth="7680" windowHeight="853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<sst xmlns="http://schemas.openxmlformats.org/spreadsheetml/2006/main" count="1051" uniqueCount="877">
  <si>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</si>
  <si>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</si>
  <si>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</si>
  <si>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</si>
  <si>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</si>
  <si>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</si>
  <si>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</si>
  <si>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</si>
  <si>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</si>
  <si>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</si>
  <si>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</si>
  <si>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</si>
  <si>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</si>
  <si>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</si>
  <si>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</si>
  <si>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</si>
  <si>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</si>
  <si>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</si>
  <si>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</si>
  <si>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</si>
  <si>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</si>
  <si>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</si>
  <si>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</si>
  <si>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</si>
  <si>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</si>
  <si>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</si>
  <si>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</si>
  <si>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</si>
  <si>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</si>
  <si>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</si>
  <si>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</si>
  <si>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</si>
  <si>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</si>
  <si>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</si>
  <si>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</si>
  <si>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</si>
  <si>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</si>
  <si>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</si>
  <si>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</si>
  <si>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</si>
  <si>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</si>
  <si>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</si>
  <si>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</si>
  <si>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</si>
  <si>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</si>
  <si>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</si>
  <si>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</si>
  <si>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</si>
  <si>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</si>
  <si>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</si>
  <si>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</si>
  <si>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</si>
  <si>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</si>
  <si>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</si>
  <si>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</si>
  <si>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</si>
  <si>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</si>
  <si>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</si>
  <si>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</si>
  <si>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</si>
  <si>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</si>
  <si>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</si>
  <si>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</si>
  <si>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</si>
  <si>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</si>
  <si>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</si>
  <si>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</si>
  <si>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</si>
  <si>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</si>
  <si>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</si>
  <si>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</si>
  <si>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</si>
  <si>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</si>
  <si>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</si>
  <si>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</si>
  <si>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</si>
  <si>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</si>
  <si>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</si>
  <si>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</si>
  <si>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</si>
  <si>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</si>
  <si>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</si>
  <si>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</si>
  <si>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</si>
  <si>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</si>
  <si>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</si>
  <si>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</si>
  <si>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</si>
  <si>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</si>
  <si>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</si>
  <si>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</si>
  <si>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</si>
  <si>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</si>
  <si>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</si>
  <si>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</si>
  <si>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</si>
  <si>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</si>
  <si>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</si>
  <si>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</si>
  <si>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</si>
  <si>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</si>
  <si>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</si>
  <si>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</si>
  <si>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</si>
  <si>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</si>
  <si>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</si>
  <si>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</si>
  <si>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</si>
  <si>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</si>
  <si>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</si>
  <si>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</si>
  <si>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</si>
  <si>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</si>
  <si>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</si>
  <si>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</si>
  <si>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</si>
  <si>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</si>
  <si>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</si>
  <si>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</si>
  <si>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</si>
  <si>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</si>
  <si>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</si>
  <si>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</si>
  <si>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</si>
  <si>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</si>
  <si>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</si>
  <si>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</si>
  <si>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</si>
  <si>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</si>
  <si>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</si>
  <si>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</si>
  <si>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</si>
  <si>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</si>
  <si>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</si>
  <si>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</si>
  <si>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</si>
  <si>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</si>
  <si>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</si>
  <si>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</si>
  <si>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</si>
  <si>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</si>
  <si>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</si>
  <si>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</si>
  <si>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</si>
  <si>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</si>
  <si>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</si>
  <si>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</si>
  <si>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</si>
  <si>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</si>
  <si>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</si>
  <si>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</si>
  <si>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</si>
  <si>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</si>
  <si>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</si>
  <si>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</si>
  <si>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</si>
  <si>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</si>
  <si>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</si>
  <si>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</si>
  <si>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</si>
  <si>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</si>
  <si>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</si>
  <si>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</si>
  <si>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</si>
  <si>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</si>
  <si>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</si>
  <si>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</si>
  <si>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</si>
  <si>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</si>
  <si>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</si>
  <si>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</si>
  <si>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</si>
  <si>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</si>
  <si>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</si>
  <si>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</si>
  <si>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</si>
  <si>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</si>
  <si>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</si>
  <si>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</si>
  <si>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</si>
  <si>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</si>
  <si>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</si>
  <si>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</si>
  <si>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</si>
  <si>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</si>
  <si>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</si>
  <si>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</si>
  <si>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</si>
  <si>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</si>
  <si>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</si>
  <si>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</si>
  <si>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</si>
  <si>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</si>
  <si>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</si>
  <si>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</si>
  <si>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</si>
  <si>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</si>
  <si>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</si>
  <si>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</si>
  <si>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</si>
  <si>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</si>
  <si>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</si>
  <si>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</si>
  <si>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</si>
  <si>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</si>
  <si>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</si>
  <si>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</si>
  <si>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</si>
  <si>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</si>
  <si>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</si>
  <si>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</si>
  <si>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</si>
  <si>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</si>
  <si>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</si>
  <si>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</si>
  <si>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</si>
  <si>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</si>
  <si>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</si>
  <si>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</si>
  <si>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</si>
  <si>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</si>
  <si>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</si>
  <si>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</si>
  <si>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</si>
  <si>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</si>
  <si>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</si>
  <si>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</si>
  <si>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</si>
  <si>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</si>
  <si>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</si>
  <si>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</si>
  <si>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</si>
  <si>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</si>
  <si>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</si>
  <si>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</si>
  <si>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</si>
  <si>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</si>
  <si>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</si>
  <si>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</si>
  <si>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</si>
  <si>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</si>
  <si>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</si>
  <si>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</si>
  <si>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</si>
  <si>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</si>
  <si>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</si>
  <si>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</si>
  <si>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</si>
  <si>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</si>
  <si>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</si>
  <si>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</si>
  <si>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</si>
  <si>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</si>
  <si>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</si>
  <si>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</si>
  <si>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</si>
  <si>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</si>
  <si>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</si>
  <si>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</si>
  <si>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</si>
  <si>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</si>
  <si>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</si>
  <si>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</si>
  <si>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</si>
  <si>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</si>
  <si>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</si>
  <si>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</si>
  <si>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</si>
  <si>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</si>
  <si>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</si>
  <si>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</si>
  <si>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</si>
  <si>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</si>
  <si>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</si>
  <si>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</si>
  <si>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</si>
  <si>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</si>
  <si>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</si>
  <si>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</si>
  <si>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</si>
  <si>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</si>
  <si>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</si>
  <si>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</si>
  <si>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</si>
  <si>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</si>
  <si>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</si>
  <si>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</si>
  <si>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</si>
  <si>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</si>
  <si>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</si>
  <si>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</si>
  <si>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</si>
  <si>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</si>
  <si>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</si>
  <si>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</si>
  <si>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</si>
  <si>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</si>
  <si>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</si>
  <si>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</si>
  <si>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</si>
  <si>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</si>
  <si>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</si>
  <si>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</si>
  <si>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</si>
  <si>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</si>
  <si>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</si>
  <si>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</si>
  <si>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</si>
  <si>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</si>
  <si>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</si>
  <si>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</si>
  <si>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</si>
  <si>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</si>
  <si>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</si>
  <si>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</si>
  <si>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</si>
  <si>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</si>
  <si>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</si>
  <si>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</si>
  <si>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</si>
  <si>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</si>
  <si>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</si>
  <si>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</si>
  <si>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</si>
  <si>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</si>
  <si>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</si>
  <si>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</si>
  <si>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</si>
  <si>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</si>
  <si>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</si>
  <si>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</si>
  <si>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</si>
  <si>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</si>
  <si>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</si>
  <si>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</si>
  <si>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</si>
  <si>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</si>
  <si>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</si>
  <si>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</si>
  <si>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</si>
  <si>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</si>
  <si>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</si>
  <si>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</si>
  <si>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</si>
  <si>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</si>
  <si>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</si>
  <si>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</si>
  <si>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</si>
  <si>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</si>
  <si>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</si>
  <si>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</si>
  <si>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</si>
  <si>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</si>
  <si>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</si>
  <si>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</si>
  <si>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</si>
  <si>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</si>
  <si>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</si>
  <si>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</si>
  <si>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</si>
  <si>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</si>
  <si>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</si>
  <si>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</si>
  <si>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</si>
  <si>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</si>
  <si>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</si>
  <si>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</si>
  <si>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</si>
  <si>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</si>
  <si>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</si>
  <si>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</si>
  <si>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</si>
  <si>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</si>
  <si>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</si>
  <si>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</si>
  <si>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</si>
  <si>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</si>
  <si>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</si>
  <si>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</si>
  <si>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</si>
  <si>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</si>
  <si>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</si>
  <si>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</si>
  <si>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</si>
  <si>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</si>
  <si>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</si>
  <si>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</si>
  <si>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</si>
  <si>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</si>
  <si>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</si>
  <si>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</si>
  <si>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</si>
  <si>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</si>
  <si>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</si>
  <si>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</si>
  <si>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</si>
  <si>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</si>
  <si>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</si>
  <si>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</si>
  <si>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</si>
  <si>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</si>
  <si>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</si>
  <si>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</si>
  <si>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</si>
  <si>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</si>
  <si>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</si>
  <si>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</si>
  <si>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</si>
  <si>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</si>
  <si>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</si>
  <si>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</si>
  <si>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</si>
  <si>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</si>
  <si>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</si>
  <si>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</si>
  <si>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</si>
  <si>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</si>
  <si>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</si>
  <si>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</si>
  <si>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</si>
  <si>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</si>
  <si>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</si>
  <si>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</si>
  <si>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</si>
  <si>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</si>
  <si>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</si>
  <si>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</si>
  <si>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</si>
  <si>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</si>
  <si>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</si>
  <si>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</si>
  <si>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</si>
  <si>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</si>
  <si>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</si>
  <si>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</si>
  <si>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</si>
  <si>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</si>
  <si>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</si>
  <si>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</si>
  <si>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</si>
  <si>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</si>
  <si>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</si>
  <si>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</si>
  <si>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</si>
  <si>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</si>
  <si>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</si>
  <si>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</si>
  <si>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</si>
  <si>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</si>
  <si>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</si>
  <si>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</si>
  <si>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</si>
  <si>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</si>
  <si>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</si>
  <si>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</si>
  <si>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</si>
  <si>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</si>
  <si>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</si>
  <si>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</si>
  <si>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</si>
  <si>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</si>
  <si>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</si>
  <si>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</si>
  <si>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</si>
  <si>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</si>
  <si>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</si>
  <si>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</si>
  <si>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</si>
  <si>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</si>
  <si>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</si>
  <si>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</si>
  <si>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</si>
  <si>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</si>
  <si>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</si>
  <si>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</si>
  <si>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</si>
  <si>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</si>
  <si>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</si>
  <si>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</si>
  <si>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</si>
  <si>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</si>
  <si>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</si>
  <si>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</si>
  <si>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</si>
  <si>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</si>
  <si>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</si>
  <si>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</si>
  <si>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</si>
  <si>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</si>
  <si>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</si>
  <si>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</si>
  <si>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</si>
  <si>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</si>
  <si>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</si>
  <si>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</si>
  <si>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</si>
  <si>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</si>
  <si>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</si>
  <si>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</si>
  <si>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</si>
  <si>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</si>
  <si>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</si>
  <si>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</si>
  <si>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</si>
  <si>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</si>
  <si>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</si>
  <si>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</si>
  <si>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</si>
  <si>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</si>
  <si>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</si>
  <si>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</si>
  <si>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</si>
  <si>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</si>
  <si>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</si>
  <si>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</si>
  <si>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</si>
  <si>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</si>
  <si>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</si>
  <si>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</si>
  <si>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</si>
  <si>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</si>
  <si>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</si>
  <si>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</si>
  <si>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</si>
  <si>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</si>
  <si>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</si>
  <si>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</si>
  <si>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</si>
  <si>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</si>
  <si>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</si>
  <si>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</si>
  <si>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</si>
  <si>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</si>
  <si>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</si>
  <si>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</si>
  <si>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</si>
  <si>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</si>
  <si>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</si>
  <si>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</si>
  <si>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</si>
  <si>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</si>
  <si>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</si>
  <si>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</si>
  <si>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</si>
  <si>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</si>
  <si>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</si>
  <si>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</si>
  <si>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</si>
  <si>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</si>
  <si>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</si>
  <si>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</si>
  <si>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</si>
  <si>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</si>
  <si>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</si>
  <si>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</si>
  <si>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</si>
  <si>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</si>
  <si>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</si>
  <si>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</si>
  <si>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</si>
  <si>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</si>
  <si>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</si>
  <si>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</si>
  <si>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</si>
  <si>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</si>
  <si>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</si>
  <si>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</si>
  <si>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</si>
  <si>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</si>
  <si>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</si>
  <si>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</si>
  <si>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</si>
  <si>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</si>
  <si>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</si>
  <si>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</si>
  <si>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</si>
  <si>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</si>
  <si>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</si>
  <si>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</si>
  <si>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</si>
  <si>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</si>
  <si>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</si>
  <si>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</si>
  <si>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</si>
  <si>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</si>
  <si>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</si>
  <si>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</si>
  <si>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</si>
  <si>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</si>
  <si>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</si>
  <si>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</si>
  <si>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</si>
  <si>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</si>
  <si>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</si>
  <si>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</si>
  <si>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</si>
  <si>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</si>
  <si>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</si>
  <si>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</si>
  <si>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</si>
  <si>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</si>
  <si>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</si>
  <si>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</si>
  <si>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</si>
  <si>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</si>
  <si>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</si>
  <si>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</si>
  <si>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</si>
  <si>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</si>
  <si>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</si>
  <si>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</si>
  <si>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</si>
  <si>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</si>
  <si>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</si>
  <si>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</si>
  <si>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</si>
  <si>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</si>
  <si>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</si>
  <si>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</si>
  <si>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</si>
  <si>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</si>
  <si>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</si>
  <si>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</si>
  <si>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</si>
  <si>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</si>
  <si>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</si>
  <si>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</si>
  <si>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</si>
  <si>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</si>
  <si>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</si>
  <si>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</si>
  <si>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</si>
  <si>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</si>
  <si>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</si>
  <si>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</si>
  <si>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</si>
  <si>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</si>
  <si>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</si>
  <si>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</si>
  <si>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</si>
  <si>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</si>
  <si>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</si>
  <si>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</si>
  <si>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</si>
  <si>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</si>
  <si>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</si>
  <si>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</si>
  <si>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</si>
  <si>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</si>
  <si>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</si>
  <si>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</si>
  <si>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</si>
  <si>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</si>
  <si>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</si>
  <si>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</si>
  <si>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</si>
  <si>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</si>
  <si>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</si>
  <si>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</si>
  <si>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</si>
  <si>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</si>
  <si>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</si>
  <si>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</si>
  <si>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</si>
  <si>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</si>
  <si>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</si>
  <si>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</si>
  <si>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</si>
  <si>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</si>
  <si>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</si>
  <si>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</si>
  <si>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</si>
  <si>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</si>
  <si>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</si>
  <si>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</si>
  <si>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</si>
  <si>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</si>
  <si>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</si>
  <si>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</si>
  <si>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</si>
  <si>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</si>
  <si>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</si>
  <si>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</si>
  <si>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</si>
  <si>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</si>
  <si>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</si>
  <si>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</si>
  <si>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</si>
  <si>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</si>
  <si>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</si>
  <si>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</si>
  <si>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</si>
  <si>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</si>
  <si>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</si>
  <si>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</si>
  <si>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</si>
  <si>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</si>
  <si>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</si>
  <si>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</si>
  <si>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</si>
  <si>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</si>
  <si>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</si>
  <si>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</si>
  <si>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</si>
  <si>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</si>
  <si>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</si>
  <si>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</si>
  <si>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</si>
  <si>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</si>
  <si>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</si>
  <si>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</si>
  <si>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</si>
  <si>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</si>
  <si>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</si>
  <si>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</si>
  <si>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</si>
  <si>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</si>
  <si>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</si>
  <si>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</si>
  <si>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</si>
  <si>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</si>
  <si>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</si>
  <si>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</si>
  <si>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</si>
  <si>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</si>
  <si>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</si>
  <si>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</si>
  <si>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</si>
  <si>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</si>
  <si>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</si>
  <si>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</si>
  <si>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</si>
  <si>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</si>
  <si>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</si>
  <si>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</si>
  <si>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</si>
  <si>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</si>
  <si>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</si>
  <si>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</si>
  <si>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</si>
  <si>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</si>
  <si>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</si>
  <si>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</si>
  <si>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</si>
  <si>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</si>
  <si>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</si>
  <si>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</si>
  <si>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</si>
  <si>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</si>
  <si>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</si>
  <si>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</si>
  <si>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</si>
  <si>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</si>
  <si>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</si>
  <si>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</si>
  <si>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</si>
  <si>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</si>
  <si>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</si>
  <si>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</si>
  <si>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</si>
  <si>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</si>
  <si>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</si>
  <si>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</si>
  <si>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</si>
  <si>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</si>
  <si>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</si>
  <si>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</si>
  <si>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</si>
  <si>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</si>
  <si>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</si>
  <si>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</si>
  <si>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</si>
  <si>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</si>
  <si>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</si>
  <si>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</si>
  <si>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</si>
  <si>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</si>
  <si>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</si>
  <si>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</si>
  <si>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</si>
  <si>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</si>
  <si>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</si>
  <si>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</si>
  <si>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</si>
  <si>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</si>
  <si>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</si>
  <si>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</si>
  <si>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</si>
  <si>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</si>
  <si>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</si>
  <si>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</si>
  <si>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</si>
  <si>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</si>
  <si>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</si>
  <si>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</si>
  <si>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</si>
  <si>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</si>
  <si>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</si>
  <si>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</si>
  <si>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</si>
  <si>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</si>
  <si>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</si>
  <si>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</si>
  <si>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</si>
  <si>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</si>
  <si>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</si>
  <si>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</si>
  <si>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</si>
  <si>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</si>
  <si>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</si>
  <si>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</si>
  <si>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</si>
  <si>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</si>
  <si>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</si>
  <si>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</si>
  <si>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</si>
  <si>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</si>
  <si>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</si>
  <si>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</si>
  <si>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</si>
  <si>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</si>
  <si>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</si>
  <si>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</si>
  <si>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</si>
  <si>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</si>
  <si>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</si>
  <si>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</si>
  <si>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</si>
  <si>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</si>
  <si>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</si>
  <si>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</si>
  <si>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</si>
  <si>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</si>
  <si>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</si>
  <si>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</si>
  <si>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</si>
  <si>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</si>
  <si>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</si>
  <si>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</si>
  <si>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</si>
  <si>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</si>
  <si>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</si>
  <si>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</si>
  <si>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</si>
  <si>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</si>
  <si>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</si>
  <si>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</si>
  <si>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</si>
  <si>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</si>
  <si>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</si>
  <si>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</si>
  <si>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</si>
  <si>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</si>
  <si>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</si>
  <si>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</si>
  <si>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</si>
  <si>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</si>
  <si>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</si>
  <si>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</si>
  <si>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</si>
  <si>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</si>
  <si>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</si>
  <si>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</si>
  <si>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</si>
  <si>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</si>
  <si>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</si>
  <si>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</si>
  <si>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</si>
  <si>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</si>
  <si>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</si>
  <si>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</si>
  <si>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</si>
  <si>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</si>
  <si>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</si>
  <si>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>6. Изкупени собствени акции на дружества</t>
  </si>
  <si>
    <t xml:space="preserve"> 2015 г. 31.12 - 4-ТО ТРИМЕСЕЧИЕ КОНСОЛИДИРАН </t>
  </si>
  <si>
    <t>Дата на съставяне: 20.02.2016 г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</si>
</sst>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4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0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13" fillId="0" borderId="32" xfId="40" applyFont="1" applyBorder="1" applyAlignment="1" applyProtection="1">
      <alignment horizontal="left" vertical="top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0" fontId="10" fillId="0" borderId="0" xfId="43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9" applyFont="1" applyAlignment="1" applyProtection="1">
      <alignment horizontal="right"/>
      <protection locked="0"/>
    </xf>
    <xf numFmtId="0" fontId="10" fillId="0" borderId="0" xfId="38" applyFont="1" applyAlignment="1" applyProtection="1">
      <alignment horizontal="right"/>
      <protection locked="0"/>
    </xf>
    <xf numFmtId="0" fontId="5" fillId="0" borderId="0" xfId="37" applyNumberFormat="1" applyFont="1" applyAlignment="1" applyProtection="1">
      <alignment horizontal="right" vertical="center" wrapText="1"/>
      <protection locked="0"/>
    </xf>
    <xf numFmtId="0" fontId="5" fillId="0" borderId="0" xfId="38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40" applyFont="1" applyBorder="1" applyAlignment="1" applyProtection="1">
      <alignment vertical="top"/>
      <protection locked="0"/>
    </xf>
    <xf numFmtId="14" fontId="8" fillId="0" borderId="10" xfId="40" applyNumberFormat="1" applyFont="1" applyBorder="1" applyAlignment="1" applyProtection="1">
      <alignment horizontal="left" vertical="top" wrapText="1"/>
      <protection locked="0"/>
    </xf>
    <xf numFmtId="1" fontId="13" fillId="35" borderId="10" xfId="38" applyNumberFormat="1" applyFont="1" applyFill="1" applyBorder="1" applyAlignment="1" applyProtection="1">
      <alignment vertical="center" wrapText="1"/>
      <protection locked="0"/>
    </xf>
    <xf numFmtId="14" fontId="11" fillId="0" borderId="0" xfId="41" applyNumberFormat="1" applyFont="1" applyAlignment="1" applyProtection="1">
      <alignment wrapText="1"/>
      <protection locked="0"/>
    </xf>
    <xf numFmtId="0" fontId="28" fillId="0" borderId="10" xfId="34" applyFont="1" applyBorder="1" applyAlignment="1" applyProtection="1">
      <alignment horizontal="left" vertical="center" wrapText="1"/>
      <protection locked="0"/>
    </xf>
    <xf numFmtId="2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1" fontId="11" fillId="0" borderId="0" xfId="41" applyNumberFormat="1" applyFont="1" applyFill="1" applyAlignment="1" applyProtection="1">
      <alignment wrapText="1"/>
      <protection locked="0"/>
    </xf>
    <xf numFmtId="1" fontId="10" fillId="0" borderId="0" xfId="40" applyNumberFormat="1" applyFont="1" applyAlignment="1" applyProtection="1">
      <alignment vertical="top" wrapText="1"/>
      <protection locked="0"/>
    </xf>
    <xf numFmtId="1" fontId="13" fillId="0" borderId="0" xfId="43" applyNumberFormat="1" applyFont="1" applyBorder="1" applyProtection="1">
      <alignment/>
      <protection locked="0"/>
    </xf>
    <xf numFmtId="1" fontId="10" fillId="0" borderId="0" xfId="40" applyNumberFormat="1" applyFont="1" applyAlignment="1" applyProtection="1">
      <alignment vertical="top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42" applyNumberFormat="1" applyFont="1" applyBorder="1" applyAlignment="1" applyProtection="1">
      <alignment horizontal="left"/>
      <protection locked="0"/>
    </xf>
    <xf numFmtId="0" fontId="27" fillId="0" borderId="0" xfId="42" applyFont="1" applyAlignment="1" applyProtection="1">
      <alignment horizontal="left" wrapText="1"/>
      <protection locked="0"/>
    </xf>
    <xf numFmtId="0" fontId="11" fillId="0" borderId="0" xfId="41" applyFont="1" applyFill="1" applyAlignment="1" applyProtection="1">
      <alignment horizontal="center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43" applyFont="1" applyAlignment="1">
      <alignment horizontal="left" vertical="top" wrapText="1"/>
      <protection/>
    </xf>
    <xf numFmtId="0" fontId="5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right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right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40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37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68">
      <selection activeCell="D88" sqref="D88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875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141</v>
      </c>
      <c r="D11" s="204">
        <v>141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3300</v>
      </c>
      <c r="D12" s="204">
        <v>3429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194</v>
      </c>
      <c r="D13" s="204">
        <v>290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852</v>
      </c>
      <c r="D14" s="204">
        <v>884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0</v>
      </c>
      <c r="D15" s="204">
        <v>0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67</v>
      </c>
      <c r="D16" s="204">
        <v>59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20</v>
      </c>
      <c r="D17" s="204">
        <v>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201</v>
      </c>
      <c r="D18" s="204">
        <v>267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4775</v>
      </c>
      <c r="D19" s="208">
        <f>SUM(D11:D18)</f>
        <v>5070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1065</v>
      </c>
      <c r="H24" s="205">
        <v>1065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2238.1666772</v>
      </c>
      <c r="H27" s="207">
        <f>SUM(H28:H30)</f>
        <v>2239.1666772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H28+H31</f>
        <v>3366.1666772</v>
      </c>
      <c r="H28" s="205">
        <v>3366.1666772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f>H29+H32</f>
        <v>-1128</v>
      </c>
      <c r="H29" s="390">
        <v>-1127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55</v>
      </c>
      <c r="D30" s="204">
        <v>55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ДОХОДИТE'!C41</f>
        <v>139.8251598</v>
      </c>
      <c r="H31" s="205"/>
      <c r="M31" s="210"/>
    </row>
    <row r="32" spans="1:15" ht="15">
      <c r="A32" s="290" t="s">
        <v>98</v>
      </c>
      <c r="B32" s="305" t="s">
        <v>99</v>
      </c>
      <c r="C32" s="208">
        <f>C30+C31</f>
        <v>55</v>
      </c>
      <c r="D32" s="208">
        <f>D30+D31</f>
        <v>55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>
        <v>-1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2377.991837</v>
      </c>
      <c r="H33" s="207">
        <f>H27+H31+H32</f>
        <v>2238.1666772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912</v>
      </c>
      <c r="D34" s="208">
        <f>SUM(D35:D38)</f>
        <v>912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6642.991837</v>
      </c>
      <c r="H36" s="207">
        <f>H25+H17+H33</f>
        <v>6503.1666772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416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476</v>
      </c>
      <c r="D38" s="204">
        <v>476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ДОХОДИТE'!C40-360</f>
        <v>797.8748402000001</v>
      </c>
      <c r="H39" s="211">
        <v>1058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0</v>
      </c>
      <c r="M43" s="210"/>
    </row>
    <row r="44" spans="1:8" ht="15">
      <c r="A44" s="290" t="s">
        <v>132</v>
      </c>
      <c r="B44" s="319" t="s">
        <v>133</v>
      </c>
      <c r="C44" s="204"/>
      <c r="D44" s="204"/>
      <c r="E44" s="323" t="s">
        <v>134</v>
      </c>
      <c r="F44" s="297" t="s">
        <v>135</v>
      </c>
      <c r="G44" s="205">
        <v>100</v>
      </c>
      <c r="H44" s="205">
        <v>130</v>
      </c>
    </row>
    <row r="45" spans="1:15" ht="15">
      <c r="A45" s="290" t="s">
        <v>136</v>
      </c>
      <c r="B45" s="304" t="s">
        <v>137</v>
      </c>
      <c r="C45" s="208">
        <f>C34+C39+C44</f>
        <v>912</v>
      </c>
      <c r="D45" s="208">
        <f>D34+D39+D44</f>
        <v>912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280</v>
      </c>
      <c r="H46" s="205">
        <v>8</v>
      </c>
    </row>
    <row r="47" spans="1:13" ht="15">
      <c r="A47" s="290" t="s">
        <v>143</v>
      </c>
      <c r="B47" s="296" t="s">
        <v>144</v>
      </c>
      <c r="C47" s="204">
        <v>0</v>
      </c>
      <c r="D47" s="204">
        <v>0</v>
      </c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52</v>
      </c>
      <c r="D48" s="204">
        <v>138</v>
      </c>
      <c r="E48" s="292" t="s">
        <v>149</v>
      </c>
      <c r="F48" s="297" t="s">
        <v>150</v>
      </c>
      <c r="G48" s="205">
        <v>2</v>
      </c>
      <c r="H48" s="205">
        <v>2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382</v>
      </c>
      <c r="H49" s="207">
        <f>SUM(H43:H48)</f>
        <v>140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1</v>
      </c>
      <c r="D50" s="204">
        <v>20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53</v>
      </c>
      <c r="D51" s="208">
        <f>SUM(D47:D50)</f>
        <v>158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14</v>
      </c>
      <c r="D54" s="204">
        <v>28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5809</v>
      </c>
      <c r="D55" s="208">
        <f>D19+D20+D21+D27+D32+D45+D51+D53+D54</f>
        <v>6223</v>
      </c>
      <c r="E55" s="292" t="s">
        <v>172</v>
      </c>
      <c r="F55" s="316" t="s">
        <v>173</v>
      </c>
      <c r="G55" s="207">
        <f>G49+G51+G52+G53+G54</f>
        <v>382</v>
      </c>
      <c r="H55" s="207">
        <f>H49+H51+H52+H53+H54</f>
        <v>140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1115</v>
      </c>
      <c r="D58" s="204">
        <v>899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237</v>
      </c>
      <c r="D59" s="204">
        <v>179</v>
      </c>
      <c r="E59" s="306" t="s">
        <v>181</v>
      </c>
      <c r="F59" s="297" t="s">
        <v>182</v>
      </c>
      <c r="G59" s="205">
        <v>43</v>
      </c>
      <c r="H59" s="205">
        <v>15</v>
      </c>
      <c r="M59" s="210"/>
    </row>
    <row r="60" spans="1:8" ht="15">
      <c r="A60" s="290" t="s">
        <v>183</v>
      </c>
      <c r="B60" s="296" t="s">
        <v>184</v>
      </c>
      <c r="C60" s="204">
        <v>35</v>
      </c>
      <c r="D60" s="204">
        <v>35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69</v>
      </c>
      <c r="D61" s="204">
        <v>69</v>
      </c>
      <c r="E61" s="298" t="s">
        <v>189</v>
      </c>
      <c r="F61" s="327" t="s">
        <v>190</v>
      </c>
      <c r="G61" s="207">
        <f>SUM(G62:G68)</f>
        <v>409</v>
      </c>
      <c r="H61" s="207">
        <f>SUM(H62:H68)</f>
        <v>379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0</v>
      </c>
      <c r="H62" s="205">
        <v>0</v>
      </c>
    </row>
    <row r="63" spans="1:13" ht="15">
      <c r="A63" s="290" t="s">
        <v>195</v>
      </c>
      <c r="B63" s="296" t="s">
        <v>196</v>
      </c>
      <c r="C63" s="204">
        <v>0</v>
      </c>
      <c r="D63" s="204"/>
      <c r="E63" s="292" t="s">
        <v>197</v>
      </c>
      <c r="F63" s="297" t="s">
        <v>198</v>
      </c>
      <c r="G63" s="205">
        <v>0</v>
      </c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1456</v>
      </c>
      <c r="D64" s="208">
        <f>SUM(D58:D63)</f>
        <v>1182</v>
      </c>
      <c r="E64" s="292" t="s">
        <v>200</v>
      </c>
      <c r="F64" s="297" t="s">
        <v>201</v>
      </c>
      <c r="G64" s="205">
        <v>293</v>
      </c>
      <c r="H64" s="205">
        <v>249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102</v>
      </c>
      <c r="H65" s="205">
        <v>113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8</v>
      </c>
      <c r="H66" s="205">
        <v>6</v>
      </c>
    </row>
    <row r="67" spans="1:8" ht="15">
      <c r="A67" s="290" t="s">
        <v>207</v>
      </c>
      <c r="B67" s="296" t="s">
        <v>208</v>
      </c>
      <c r="C67" s="204">
        <v>0</v>
      </c>
      <c r="D67" s="204">
        <v>0</v>
      </c>
      <c r="E67" s="292" t="s">
        <v>209</v>
      </c>
      <c r="F67" s="297" t="s">
        <v>210</v>
      </c>
      <c r="G67" s="205">
        <v>1</v>
      </c>
      <c r="H67" s="205">
        <v>2</v>
      </c>
    </row>
    <row r="68" spans="1:8" ht="15">
      <c r="A68" s="290" t="s">
        <v>211</v>
      </c>
      <c r="B68" s="296" t="s">
        <v>212</v>
      </c>
      <c r="C68" s="204">
        <v>576</v>
      </c>
      <c r="D68" s="204">
        <v>310</v>
      </c>
      <c r="E68" s="292" t="s">
        <v>213</v>
      </c>
      <c r="F68" s="297" t="s">
        <v>214</v>
      </c>
      <c r="G68" s="205">
        <v>5</v>
      </c>
      <c r="H68" s="205">
        <v>9</v>
      </c>
    </row>
    <row r="69" spans="1:8" ht="15">
      <c r="A69" s="290" t="s">
        <v>215</v>
      </c>
      <c r="B69" s="296" t="s">
        <v>216</v>
      </c>
      <c r="C69" s="204">
        <v>42</v>
      </c>
      <c r="D69" s="204">
        <v>12</v>
      </c>
      <c r="E69" s="306" t="s">
        <v>78</v>
      </c>
      <c r="F69" s="297" t="s">
        <v>217</v>
      </c>
      <c r="G69" s="205">
        <f>98+4</f>
        <v>102</v>
      </c>
      <c r="H69" s="205">
        <v>96</v>
      </c>
    </row>
    <row r="70" spans="1:8" ht="15">
      <c r="A70" s="290" t="s">
        <v>218</v>
      </c>
      <c r="B70" s="296" t="s">
        <v>219</v>
      </c>
      <c r="C70" s="204">
        <v>6</v>
      </c>
      <c r="D70" s="204">
        <v>25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554</v>
      </c>
      <c r="H71" s="214">
        <f>H59+H60+H61+H69+H70</f>
        <v>490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18</v>
      </c>
      <c r="D72" s="204">
        <v>35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>
        <v>0</v>
      </c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124</v>
      </c>
      <c r="D74" s="204"/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766</v>
      </c>
      <c r="D75" s="208">
        <f>SUM(D67:D74)</f>
        <v>382</v>
      </c>
      <c r="E75" s="306" t="s">
        <v>160</v>
      </c>
      <c r="F75" s="300" t="s">
        <v>234</v>
      </c>
      <c r="G75" s="205">
        <v>1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555</v>
      </c>
      <c r="H79" s="215">
        <f>H71+H74+H75+H76</f>
        <v>490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128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128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112</v>
      </c>
      <c r="D87" s="204">
        <v>48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220</v>
      </c>
      <c r="D88" s="204">
        <v>228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332</v>
      </c>
      <c r="D91" s="208">
        <f>SUM(D87:D90)</f>
        <v>276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1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2569</v>
      </c>
      <c r="D93" s="208">
        <f>D64+D75+D84+D91+D92</f>
        <v>1968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8378</v>
      </c>
      <c r="D94" s="217">
        <f>D93+D55</f>
        <v>8191</v>
      </c>
      <c r="E94" s="556" t="s">
        <v>270</v>
      </c>
      <c r="F94" s="344" t="s">
        <v>271</v>
      </c>
      <c r="G94" s="218">
        <f>G36+G39+G55+G79</f>
        <v>8377.8666772</v>
      </c>
      <c r="H94" s="218">
        <f>H36+H39+H55+H79</f>
        <v>8191.1666772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-0.1333228000003146</v>
      </c>
      <c r="H97" s="603">
        <f>D94-H94</f>
        <v>-0.1666771999998673</v>
      </c>
      <c r="M97" s="210"/>
    </row>
    <row r="98" spans="1:13" ht="15">
      <c r="A98" s="78" t="s">
        <v>876</v>
      </c>
      <c r="B98" s="538"/>
      <c r="C98" s="604" t="s">
        <v>819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4" t="s">
        <v>781</v>
      </c>
      <c r="D100" s="605"/>
      <c r="E100" s="605"/>
      <c r="F100" s="604"/>
      <c r="G100" s="605"/>
      <c r="H100" s="605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7">
      <selection activeCell="C11" sqref="C1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08" t="s">
        <v>2</v>
      </c>
      <c r="G2" s="608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2015 г. 31.12 - 4-ТО ТРИМЕСЕЧИЕ КОНСОЛИДИРАН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215</v>
      </c>
      <c r="D9" s="79">
        <v>166</v>
      </c>
      <c r="E9" s="362" t="s">
        <v>283</v>
      </c>
      <c r="F9" s="364" t="s">
        <v>284</v>
      </c>
      <c r="G9" s="87">
        <v>132</v>
      </c>
      <c r="H9" s="87">
        <v>218</v>
      </c>
    </row>
    <row r="10" spans="1:8" ht="12">
      <c r="A10" s="362" t="s">
        <v>285</v>
      </c>
      <c r="B10" s="363" t="s">
        <v>286</v>
      </c>
      <c r="C10" s="79">
        <v>530</v>
      </c>
      <c r="D10" s="79">
        <v>288</v>
      </c>
      <c r="E10" s="362" t="s">
        <v>287</v>
      </c>
      <c r="F10" s="364" t="s">
        <v>288</v>
      </c>
      <c r="G10" s="87">
        <v>12</v>
      </c>
      <c r="H10" s="87">
        <v>4</v>
      </c>
    </row>
    <row r="11" spans="1:8" ht="12">
      <c r="A11" s="362" t="s">
        <v>289</v>
      </c>
      <c r="B11" s="363" t="s">
        <v>290</v>
      </c>
      <c r="C11" s="79">
        <v>302</v>
      </c>
      <c r="D11" s="79">
        <v>303</v>
      </c>
      <c r="E11" s="365" t="s">
        <v>291</v>
      </c>
      <c r="F11" s="364" t="s">
        <v>292</v>
      </c>
      <c r="G11" s="87">
        <v>532</v>
      </c>
      <c r="H11" s="87">
        <v>194</v>
      </c>
    </row>
    <row r="12" spans="1:8" ht="12">
      <c r="A12" s="362" t="s">
        <v>293</v>
      </c>
      <c r="B12" s="363" t="s">
        <v>294</v>
      </c>
      <c r="C12" s="79">
        <v>107</v>
      </c>
      <c r="D12" s="79">
        <f>92-14</f>
        <v>78</v>
      </c>
      <c r="E12" s="365" t="s">
        <v>78</v>
      </c>
      <c r="F12" s="364" t="s">
        <v>295</v>
      </c>
      <c r="G12" s="87">
        <v>848</v>
      </c>
      <c r="H12" s="87">
        <f>472+86</f>
        <v>558</v>
      </c>
    </row>
    <row r="13" spans="1:18" ht="12">
      <c r="A13" s="362" t="s">
        <v>296</v>
      </c>
      <c r="B13" s="363" t="s">
        <v>297</v>
      </c>
      <c r="C13" s="79">
        <v>20</v>
      </c>
      <c r="D13" s="79">
        <v>14</v>
      </c>
      <c r="E13" s="366" t="s">
        <v>51</v>
      </c>
      <c r="F13" s="367" t="s">
        <v>298</v>
      </c>
      <c r="G13" s="88">
        <f>SUM(G9:G12)</f>
        <v>1524</v>
      </c>
      <c r="H13" s="88">
        <f>SUM(H9:H12)</f>
        <v>974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135</v>
      </c>
      <c r="D14" s="79">
        <f>97+6</f>
        <v>103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-58</v>
      </c>
      <c r="D15" s="80">
        <v>2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1</v>
      </c>
      <c r="D16" s="80">
        <v>8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1252</v>
      </c>
      <c r="D19" s="82">
        <f>SUM(D9:D15)+D16</f>
        <v>962</v>
      </c>
      <c r="E19" s="372" t="s">
        <v>315</v>
      </c>
      <c r="F19" s="368" t="s">
        <v>316</v>
      </c>
      <c r="G19" s="87">
        <v>38</v>
      </c>
      <c r="H19" s="87">
        <v>16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38</v>
      </c>
      <c r="D22" s="79">
        <v>26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>
        <v>9</v>
      </c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38</v>
      </c>
      <c r="H24" s="88">
        <f>SUM(H19:H23)</f>
        <v>16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8</v>
      </c>
      <c r="D25" s="79">
        <v>2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55</v>
      </c>
      <c r="D26" s="82">
        <f>SUM(D22:D25)</f>
        <v>28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1307</v>
      </c>
      <c r="D28" s="83">
        <f>D26+D19</f>
        <v>990</v>
      </c>
      <c r="E28" s="173" t="s">
        <v>337</v>
      </c>
      <c r="F28" s="369" t="s">
        <v>338</v>
      </c>
      <c r="G28" s="88">
        <f>G13+G15+G24</f>
        <v>1562</v>
      </c>
      <c r="H28" s="88">
        <f>H13+H15+H24</f>
        <v>990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255</v>
      </c>
      <c r="D30" s="83">
        <f>IF((H28-D28)&gt;0,H28-D28,0)</f>
        <v>0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/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1307</v>
      </c>
      <c r="D33" s="82">
        <f>D28+D31+D32</f>
        <v>990</v>
      </c>
      <c r="E33" s="173" t="s">
        <v>351</v>
      </c>
      <c r="F33" s="369" t="s">
        <v>352</v>
      </c>
      <c r="G33" s="90">
        <f>G32+G31+G28</f>
        <v>1562</v>
      </c>
      <c r="H33" s="90">
        <f>H32+H31+H28</f>
        <v>990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255</v>
      </c>
      <c r="D34" s="83">
        <f>IF((H33-D33)&gt;0,H33-D33,0)</f>
        <v>0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15.299999999999999</v>
      </c>
      <c r="D35" s="82">
        <f>D36+D37+D38</f>
        <v>2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f>C34*6%</f>
        <v>15.299999999999999</v>
      </c>
      <c r="D36" s="79">
        <v>2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239.7</v>
      </c>
      <c r="D39" s="568">
        <f>+IF((H33-D33-D35)&gt;0,H33-D33-D35,0)</f>
        <v>0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2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99.8748402</v>
      </c>
      <c r="D40" s="84">
        <f>D39*0.4166666</f>
        <v>0</v>
      </c>
      <c r="E40" s="173" t="s">
        <v>369</v>
      </c>
      <c r="F40" s="174" t="s">
        <v>371</v>
      </c>
      <c r="G40" s="87">
        <f>G39*0.416666</f>
        <v>0</v>
      </c>
      <c r="H40" s="87">
        <f>H39*0.416666</f>
        <v>0.833332</v>
      </c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139.8251598</v>
      </c>
      <c r="D41" s="85">
        <f>IF(H39=0,IF(D39-D40&gt;0,D39-D40+H40,0),IF(H39-H40&lt;0,H40-H39+D39,0))</f>
        <v>0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1.166668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1562</v>
      </c>
      <c r="D42" s="86">
        <f>D33+D35+D39</f>
        <v>992</v>
      </c>
      <c r="E42" s="176" t="s">
        <v>378</v>
      </c>
      <c r="F42" s="177" t="s">
        <v>379</v>
      </c>
      <c r="G42" s="90">
        <f>G39+G33</f>
        <v>1562</v>
      </c>
      <c r="H42" s="90">
        <f>H39+H33</f>
        <v>992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6"/>
      <c r="E44" s="606"/>
      <c r="F44" s="606"/>
      <c r="G44" s="606"/>
      <c r="H44" s="606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4">
      <selection activeCell="C20" sqref="C20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2015 г. 31.12 - 4-ТО ТРИМЕСЕЧИЕ КОНСОЛИДИРАН 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1298</v>
      </c>
      <c r="D10" s="92">
        <v>953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-1094</v>
      </c>
      <c r="D11" s="92">
        <v>-581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-125</v>
      </c>
      <c r="D13" s="92">
        <v>-77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-62</v>
      </c>
      <c r="D14" s="92">
        <v>-58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-4</v>
      </c>
      <c r="D15" s="92">
        <v>-4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0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f>142+135-51</f>
        <v>226</v>
      </c>
      <c r="D19" s="92">
        <f>-23-20</f>
        <v>-43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239</v>
      </c>
      <c r="D20" s="93">
        <f>SUM(D10:D19)</f>
        <v>190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-99</v>
      </c>
      <c r="D22" s="92">
        <v>-207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85</v>
      </c>
      <c r="D23" s="92">
        <v>64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0</v>
      </c>
      <c r="D24" s="92">
        <v>0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0</v>
      </c>
      <c r="D25" s="92">
        <v>0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2</v>
      </c>
      <c r="D26" s="92">
        <v>11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>
        <v>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>
        <v>0</v>
      </c>
      <c r="D28" s="92">
        <v>0</v>
      </c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v>0</v>
      </c>
      <c r="D29" s="92">
        <v>0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>
        <v>0</v>
      </c>
      <c r="D30" s="92">
        <v>0</v>
      </c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0</v>
      </c>
      <c r="D31" s="92">
        <v>0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-12</v>
      </c>
      <c r="D32" s="93">
        <f>SUM(D22:D31)</f>
        <v>-132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174</v>
      </c>
      <c r="D36" s="92">
        <v>271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-329</v>
      </c>
      <c r="D37" s="92">
        <v>-322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-7</v>
      </c>
      <c r="D39" s="92">
        <v>-17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-9</v>
      </c>
      <c r="D41" s="92">
        <v>-5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-171</v>
      </c>
      <c r="D42" s="93">
        <f>SUM(D34:D41)</f>
        <v>-73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56</v>
      </c>
      <c r="D43" s="93">
        <f>D42+D32+D20</f>
        <v>-15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276</v>
      </c>
      <c r="D44" s="183">
        <v>291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332</v>
      </c>
      <c r="D45" s="93">
        <f>D44+D43</f>
        <v>276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332</v>
      </c>
      <c r="D46" s="94">
        <f>D45</f>
        <v>276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20.02.2016 г</v>
      </c>
      <c r="B50" s="543" t="s">
        <v>381</v>
      </c>
      <c r="C50" s="609"/>
      <c r="D50" s="609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871</v>
      </c>
      <c r="C52" s="609"/>
      <c r="D52" s="609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5">
      <selection activeCell="M36" sqref="M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2" t="str">
        <f>'справка №1-БАЛАНС'!E3</f>
        <v>Булгар Чех Инвест Холдинг АД - Смолян</v>
      </c>
      <c r="D3" s="613"/>
      <c r="E3" s="613"/>
      <c r="F3" s="613"/>
      <c r="G3" s="613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2" t="str">
        <f>'справка №1-БАЛАНС'!E4</f>
        <v>КОНСОЛИДИРАН </v>
      </c>
      <c r="D4" s="612"/>
      <c r="E4" s="614"/>
      <c r="F4" s="612"/>
      <c r="G4" s="612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2" t="str">
        <f>'справка №1-БАЛАНС'!E5</f>
        <v> 2015 г. 31.12 - 4-ТО ТРИМЕСЕЧИЕ КОНСОЛИДИРАН </v>
      </c>
      <c r="D5" s="613"/>
      <c r="E5" s="613"/>
      <c r="F5" s="613"/>
      <c r="G5" s="613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3366.1666772</v>
      </c>
      <c r="J11" s="96">
        <f>'справка №1-БАЛАНС'!H29+'справка №1-БАЛАНС'!H32</f>
        <v>-1128</v>
      </c>
      <c r="K11" s="98"/>
      <c r="L11" s="423">
        <f>SUM(C11:K11)</f>
        <v>6503.1666772</v>
      </c>
      <c r="M11" s="96">
        <f>'справка №1-БАЛАНС'!H39</f>
        <v>1058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3366.1666772</v>
      </c>
      <c r="J15" s="99">
        <f t="shared" si="2"/>
        <v>-1128</v>
      </c>
      <c r="K15" s="99">
        <f t="shared" si="2"/>
        <v>0</v>
      </c>
      <c r="L15" s="423">
        <f t="shared" si="1"/>
        <v>6503.1666772</v>
      </c>
      <c r="M15" s="99">
        <f t="shared" si="2"/>
        <v>1058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139.8251598</v>
      </c>
      <c r="J16" s="424">
        <f>+'справка №1-БАЛАНС'!G32</f>
        <v>0</v>
      </c>
      <c r="K16" s="98"/>
      <c r="L16" s="423">
        <f t="shared" si="1"/>
        <v>139.8251598</v>
      </c>
      <c r="M16" s="98">
        <f>'справка №2-ОТЧЕТ ЗА ДОХОДИТE'!C40+('справка №2-ОТЧЕТ ЗА ДОХОДИТE'!G40*-1)</f>
        <v>99.8748402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>
        <v>-360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3505.991837</v>
      </c>
      <c r="J29" s="97">
        <f t="shared" si="6"/>
        <v>-1128</v>
      </c>
      <c r="K29" s="97">
        <f t="shared" si="6"/>
        <v>0</v>
      </c>
      <c r="L29" s="423">
        <f t="shared" si="1"/>
        <v>6642.991837</v>
      </c>
      <c r="M29" s="97">
        <f t="shared" si="6"/>
        <v>797.8748402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3505.991837</v>
      </c>
      <c r="J32" s="97">
        <f t="shared" si="7"/>
        <v>-1128</v>
      </c>
      <c r="K32" s="97">
        <f t="shared" si="7"/>
        <v>0</v>
      </c>
      <c r="L32" s="423">
        <f t="shared" si="1"/>
        <v>6642.991837</v>
      </c>
      <c r="M32" s="97">
        <f>M29+M30+M31</f>
        <v>797.8748402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</v>
      </c>
      <c r="M34" s="428">
        <f>M32-'справка №1-БАЛАНС'!G39</f>
        <v>0</v>
      </c>
      <c r="N34" s="19"/>
    </row>
    <row r="35" spans="1:14" ht="12">
      <c r="A35" s="560" t="str">
        <f>'справка №1-БАЛАНС'!A98</f>
        <v>Дата на съставяне: 20.02.2016 г</v>
      </c>
      <c r="B35" s="37"/>
      <c r="C35" s="24"/>
      <c r="D35" s="611" t="s">
        <v>521</v>
      </c>
      <c r="E35" s="611"/>
      <c r="F35" s="611" t="s">
        <v>872</v>
      </c>
      <c r="G35" s="611"/>
      <c r="H35" s="611"/>
      <c r="I35" s="611"/>
      <c r="J35" s="24"/>
      <c r="K35" s="24"/>
      <c r="L35" s="611" t="s">
        <v>873</v>
      </c>
      <c r="M35" s="611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7">
      <selection activeCell="R39" sqref="R39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20" t="s">
        <v>383</v>
      </c>
      <c r="B2" s="621"/>
      <c r="C2" s="583"/>
      <c r="D2" s="583"/>
      <c r="E2" s="612" t="str">
        <f>'справка №1-БАЛАНС'!E3</f>
        <v>Булгар Чех Инвест Холдинг АД - Смолян</v>
      </c>
      <c r="F2" s="622"/>
      <c r="G2" s="622"/>
      <c r="H2" s="583"/>
      <c r="I2" s="440"/>
      <c r="J2" s="440"/>
      <c r="K2" s="440"/>
      <c r="L2" s="440"/>
      <c r="M2" s="615" t="s">
        <v>2</v>
      </c>
      <c r="N2" s="616"/>
      <c r="O2" s="616"/>
      <c r="P2" s="617">
        <f>'справка №1-БАЛАНС'!H3</f>
        <v>0</v>
      </c>
      <c r="Q2" s="617"/>
      <c r="R2" s="352"/>
    </row>
    <row r="3" spans="1:18" ht="15">
      <c r="A3" s="620" t="s">
        <v>5</v>
      </c>
      <c r="B3" s="621"/>
      <c r="C3" s="584"/>
      <c r="D3" s="584"/>
      <c r="E3" s="612" t="str">
        <f>'справка №1-БАЛАНС'!E5</f>
        <v> 2015 г. 31.12 - 4-ТО ТРИМЕСЕЧИЕ КОНСОЛИДИРАН </v>
      </c>
      <c r="F3" s="623"/>
      <c r="G3" s="623"/>
      <c r="H3" s="442"/>
      <c r="I3" s="442"/>
      <c r="J3" s="442"/>
      <c r="K3" s="442"/>
      <c r="L3" s="442"/>
      <c r="M3" s="618" t="s">
        <v>4</v>
      </c>
      <c r="N3" s="618"/>
      <c r="O3" s="575"/>
      <c r="P3" s="619" t="str">
        <f>'справка №1-БАЛАНС'!H4</f>
        <v> </v>
      </c>
      <c r="Q3" s="619"/>
      <c r="R3" s="353"/>
    </row>
    <row r="4" spans="1:18" ht="12.75">
      <c r="A4" s="435" t="s">
        <v>523</v>
      </c>
      <c r="B4" s="441"/>
      <c r="C4" s="441"/>
      <c r="D4" s="442"/>
      <c r="E4" s="624"/>
      <c r="F4" s="625"/>
      <c r="G4" s="625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6" t="s">
        <v>463</v>
      </c>
      <c r="B5" s="627"/>
      <c r="C5" s="630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3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3" t="s">
        <v>529</v>
      </c>
      <c r="R5" s="633" t="s">
        <v>530</v>
      </c>
    </row>
    <row r="6" spans="1:18" s="44" customFormat="1" ht="48">
      <c r="A6" s="628"/>
      <c r="B6" s="629"/>
      <c r="C6" s="631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4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4"/>
      <c r="R6" s="634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141</v>
      </c>
      <c r="E9" s="242"/>
      <c r="F9" s="242"/>
      <c r="G9" s="113">
        <f>D9+E9-F9</f>
        <v>141</v>
      </c>
      <c r="H9" s="103"/>
      <c r="I9" s="103"/>
      <c r="J9" s="113">
        <f>G9+H9-I9</f>
        <v>141</v>
      </c>
      <c r="K9" s="103">
        <v>0</v>
      </c>
      <c r="L9" s="103">
        <v>0</v>
      </c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141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4288</v>
      </c>
      <c r="E10" s="242"/>
      <c r="F10" s="242"/>
      <c r="G10" s="113">
        <f aca="true" t="shared" si="3" ref="G10:G39">D10+E10-F10</f>
        <v>4288</v>
      </c>
      <c r="H10" s="103"/>
      <c r="I10" s="103"/>
      <c r="J10" s="113">
        <f aca="true" t="shared" si="4" ref="J10:J39">G10+H10-I10</f>
        <v>4288</v>
      </c>
      <c r="K10" s="103">
        <v>859</v>
      </c>
      <c r="L10" s="103">
        <v>129</v>
      </c>
      <c r="M10" s="103"/>
      <c r="N10" s="113">
        <f t="shared" si="0"/>
        <v>988</v>
      </c>
      <c r="O10" s="103"/>
      <c r="P10" s="103"/>
      <c r="Q10" s="113">
        <f t="shared" si="1"/>
        <v>988</v>
      </c>
      <c r="R10" s="113">
        <f t="shared" si="2"/>
        <v>3300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794</v>
      </c>
      <c r="E11" s="242">
        <v>34</v>
      </c>
      <c r="F11" s="242">
        <v>82</v>
      </c>
      <c r="G11" s="113">
        <f t="shared" si="3"/>
        <v>746</v>
      </c>
      <c r="H11" s="103"/>
      <c r="I11" s="103"/>
      <c r="J11" s="113">
        <f t="shared" si="4"/>
        <v>746</v>
      </c>
      <c r="K11" s="103">
        <v>504</v>
      </c>
      <c r="L11" s="103">
        <v>85</v>
      </c>
      <c r="M11" s="103">
        <v>37</v>
      </c>
      <c r="N11" s="113">
        <f t="shared" si="0"/>
        <v>552</v>
      </c>
      <c r="O11" s="103"/>
      <c r="P11" s="103"/>
      <c r="Q11" s="113">
        <f t="shared" si="1"/>
        <v>552</v>
      </c>
      <c r="R11" s="113">
        <f t="shared" si="2"/>
        <v>194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978</v>
      </c>
      <c r="E12" s="242">
        <f>(899-884)</f>
        <v>15</v>
      </c>
      <c r="F12" s="242">
        <v>29</v>
      </c>
      <c r="G12" s="113">
        <f t="shared" si="3"/>
        <v>964</v>
      </c>
      <c r="H12" s="103"/>
      <c r="I12" s="103"/>
      <c r="J12" s="113">
        <f t="shared" si="4"/>
        <v>964</v>
      </c>
      <c r="K12" s="103">
        <v>94</v>
      </c>
      <c r="L12" s="103">
        <v>18</v>
      </c>
      <c r="M12" s="103"/>
      <c r="N12" s="113">
        <f t="shared" si="0"/>
        <v>112</v>
      </c>
      <c r="O12" s="103"/>
      <c r="P12" s="103"/>
      <c r="Q12" s="113">
        <f t="shared" si="1"/>
        <v>112</v>
      </c>
      <c r="R12" s="113">
        <f t="shared" si="2"/>
        <v>852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162</v>
      </c>
      <c r="E13" s="242"/>
      <c r="F13" s="242"/>
      <c r="G13" s="113">
        <f t="shared" si="3"/>
        <v>162</v>
      </c>
      <c r="H13" s="103"/>
      <c r="I13" s="103"/>
      <c r="J13" s="113">
        <f t="shared" si="4"/>
        <v>162</v>
      </c>
      <c r="K13" s="103">
        <v>162</v>
      </c>
      <c r="L13" s="103">
        <v>0</v>
      </c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198</v>
      </c>
      <c r="E14" s="242">
        <v>11</v>
      </c>
      <c r="F14" s="242"/>
      <c r="G14" s="113">
        <f t="shared" si="3"/>
        <v>209</v>
      </c>
      <c r="H14" s="103"/>
      <c r="I14" s="103"/>
      <c r="J14" s="113">
        <f t="shared" si="4"/>
        <v>209</v>
      </c>
      <c r="K14" s="103">
        <v>139</v>
      </c>
      <c r="L14" s="103">
        <v>3</v>
      </c>
      <c r="M14" s="103"/>
      <c r="N14" s="113">
        <f t="shared" si="0"/>
        <v>142</v>
      </c>
      <c r="O14" s="103"/>
      <c r="P14" s="103"/>
      <c r="Q14" s="113">
        <f t="shared" si="1"/>
        <v>142</v>
      </c>
      <c r="R14" s="113">
        <f t="shared" si="2"/>
        <v>67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0</v>
      </c>
      <c r="E15" s="563">
        <v>20</v>
      </c>
      <c r="F15" s="563"/>
      <c r="G15" s="113">
        <f t="shared" si="3"/>
        <v>20</v>
      </c>
      <c r="H15" s="564"/>
      <c r="I15" s="564"/>
      <c r="J15" s="113">
        <f t="shared" si="4"/>
        <v>20</v>
      </c>
      <c r="K15" s="103">
        <v>0</v>
      </c>
      <c r="L15" s="564">
        <v>0</v>
      </c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20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446</v>
      </c>
      <c r="E16" s="242">
        <v>3</v>
      </c>
      <c r="F16" s="242">
        <v>2</v>
      </c>
      <c r="G16" s="113">
        <f t="shared" si="3"/>
        <v>447</v>
      </c>
      <c r="H16" s="103"/>
      <c r="I16" s="103"/>
      <c r="J16" s="113">
        <f t="shared" si="4"/>
        <v>447</v>
      </c>
      <c r="K16" s="103">
        <v>179</v>
      </c>
      <c r="L16" s="103">
        <v>67</v>
      </c>
      <c r="M16" s="103"/>
      <c r="N16" s="113">
        <f t="shared" si="0"/>
        <v>246</v>
      </c>
      <c r="O16" s="103"/>
      <c r="P16" s="103"/>
      <c r="Q16" s="113">
        <f aca="true" t="shared" si="5" ref="Q16:Q25">N16+O16-P16</f>
        <v>246</v>
      </c>
      <c r="R16" s="113">
        <f aca="true" t="shared" si="6" ref="R16:R25">J16-Q16</f>
        <v>201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7007</v>
      </c>
      <c r="E17" s="247">
        <f>SUM(E9:E16)</f>
        <v>83</v>
      </c>
      <c r="F17" s="247">
        <f>SUM(F9:F16)</f>
        <v>113</v>
      </c>
      <c r="G17" s="113">
        <f t="shared" si="3"/>
        <v>6977</v>
      </c>
      <c r="H17" s="114">
        <f>SUM(H9:H16)</f>
        <v>0</v>
      </c>
      <c r="I17" s="114">
        <f>SUM(I9:I16)</f>
        <v>0</v>
      </c>
      <c r="J17" s="113">
        <f t="shared" si="4"/>
        <v>6977</v>
      </c>
      <c r="K17" s="114">
        <f>SUM(K9:K16)</f>
        <v>1937</v>
      </c>
      <c r="L17" s="114">
        <f>SUM(L9:L16)</f>
        <v>302</v>
      </c>
      <c r="M17" s="114">
        <f>SUM(M9:M16)</f>
        <v>37</v>
      </c>
      <c r="N17" s="113">
        <f aca="true" t="shared" si="7" ref="N17:N39">K17+L17-M17</f>
        <v>2202</v>
      </c>
      <c r="O17" s="114">
        <f>SUM(O9:O16)</f>
        <v>0</v>
      </c>
      <c r="P17" s="114">
        <f>SUM(P9:P16)</f>
        <v>0</v>
      </c>
      <c r="Q17" s="113">
        <f t="shared" si="5"/>
        <v>2202</v>
      </c>
      <c r="R17" s="113">
        <f t="shared" si="6"/>
        <v>4775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912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912</v>
      </c>
      <c r="H27" s="109">
        <f t="shared" si="9"/>
        <v>0</v>
      </c>
      <c r="I27" s="109">
        <f t="shared" si="9"/>
        <v>0</v>
      </c>
      <c r="J27" s="110">
        <f t="shared" si="4"/>
        <v>912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912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>
        <v>0</v>
      </c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416</v>
      </c>
      <c r="E30" s="242"/>
      <c r="F30" s="242"/>
      <c r="G30" s="113">
        <f t="shared" si="3"/>
        <v>416</v>
      </c>
      <c r="H30" s="111"/>
      <c r="I30" s="111"/>
      <c r="J30" s="113">
        <f t="shared" si="4"/>
        <v>416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416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476</v>
      </c>
      <c r="E31" s="242"/>
      <c r="F31" s="242"/>
      <c r="G31" s="113">
        <f t="shared" si="3"/>
        <v>476</v>
      </c>
      <c r="H31" s="111"/>
      <c r="I31" s="111"/>
      <c r="J31" s="113">
        <f t="shared" si="4"/>
        <v>476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476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/>
      <c r="E37" s="242"/>
      <c r="F37" s="242"/>
      <c r="G37" s="113">
        <f t="shared" si="3"/>
        <v>0</v>
      </c>
      <c r="H37" s="111"/>
      <c r="I37" s="111"/>
      <c r="J37" s="113">
        <f t="shared" si="4"/>
        <v>0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912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912</v>
      </c>
      <c r="H38" s="114">
        <f t="shared" si="13"/>
        <v>0</v>
      </c>
      <c r="I38" s="114">
        <f t="shared" si="13"/>
        <v>0</v>
      </c>
      <c r="J38" s="113">
        <f t="shared" si="4"/>
        <v>912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912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124</v>
      </c>
      <c r="E39" s="595"/>
      <c r="F39" s="595"/>
      <c r="G39" s="113">
        <f t="shared" si="3"/>
        <v>124</v>
      </c>
      <c r="H39" s="595"/>
      <c r="I39" s="595"/>
      <c r="J39" s="113">
        <f t="shared" si="4"/>
        <v>124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55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8086</v>
      </c>
      <c r="E40" s="545">
        <f>E17+E18+E19+E25+E38+E39</f>
        <v>83</v>
      </c>
      <c r="F40" s="545">
        <f aca="true" t="shared" si="14" ref="F40:R40">F17+F18+F19+F25+F38+F39</f>
        <v>113</v>
      </c>
      <c r="G40" s="545">
        <f t="shared" si="14"/>
        <v>8056</v>
      </c>
      <c r="H40" s="545">
        <f t="shared" si="14"/>
        <v>0</v>
      </c>
      <c r="I40" s="545">
        <f t="shared" si="14"/>
        <v>0</v>
      </c>
      <c r="J40" s="545">
        <f t="shared" si="14"/>
        <v>8056</v>
      </c>
      <c r="K40" s="545">
        <f t="shared" si="14"/>
        <v>2049</v>
      </c>
      <c r="L40" s="545">
        <f t="shared" si="14"/>
        <v>302</v>
      </c>
      <c r="M40" s="545">
        <f t="shared" si="14"/>
        <v>37</v>
      </c>
      <c r="N40" s="545">
        <f t="shared" si="14"/>
        <v>2314</v>
      </c>
      <c r="O40" s="545">
        <f t="shared" si="14"/>
        <v>0</v>
      </c>
      <c r="P40" s="545">
        <f t="shared" si="14"/>
        <v>0</v>
      </c>
      <c r="Q40" s="545">
        <f t="shared" si="14"/>
        <v>2314</v>
      </c>
      <c r="R40" s="545">
        <f t="shared" si="14"/>
        <v>5742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302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5742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20.02.2016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2"/>
      <c r="L44" s="632"/>
      <c r="M44" s="632"/>
      <c r="N44" s="632"/>
      <c r="O44" s="616" t="s">
        <v>781</v>
      </c>
      <c r="P44" s="621"/>
      <c r="Q44" s="621"/>
      <c r="R44" s="621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B1" sqref="AB1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9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9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0" t="str">
        <f>"Отчетен период:"&amp;"           "&amp;'справка №1-БАЛАНС'!E5</f>
        <v>Отчетен период:            2015 г. 31.12 - 4-ТО ТРИМЕСЕЧИЕ КОНСОЛИДИРАН </v>
      </c>
      <c r="B4" s="640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52</v>
      </c>
      <c r="D15" s="153"/>
      <c r="E15" s="166">
        <f t="shared" si="0"/>
        <v>52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1</v>
      </c>
      <c r="D16" s="165">
        <f>+D17+D18</f>
        <v>0</v>
      </c>
      <c r="E16" s="166">
        <f t="shared" si="0"/>
        <v>1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1</v>
      </c>
      <c r="D18" s="153"/>
      <c r="E18" s="166">
        <f t="shared" si="0"/>
        <v>1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53</v>
      </c>
      <c r="D19" s="149">
        <f>D11+D15+D16</f>
        <v>0</v>
      </c>
      <c r="E19" s="164">
        <f>E11+E15+E16</f>
        <v>53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0</v>
      </c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576</v>
      </c>
      <c r="D28" s="153">
        <v>179</v>
      </c>
      <c r="E28" s="166">
        <f t="shared" si="0"/>
        <v>397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42</v>
      </c>
      <c r="D29" s="153"/>
      <c r="E29" s="166">
        <f t="shared" si="0"/>
        <v>42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6</v>
      </c>
      <c r="D30" s="153"/>
      <c r="E30" s="166">
        <f t="shared" si="0"/>
        <v>6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18</v>
      </c>
      <c r="D33" s="150">
        <f>SUM(D34:D37)</f>
        <v>6</v>
      </c>
      <c r="E33" s="167">
        <f>SUM(E34:E37)</f>
        <v>12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12</v>
      </c>
      <c r="D34" s="153"/>
      <c r="E34" s="166">
        <f t="shared" si="0"/>
        <v>12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124</v>
      </c>
      <c r="D38" s="150">
        <f>SUM(D39:D42)</f>
        <v>0</v>
      </c>
      <c r="E38" s="167">
        <f>SUM(E39:E42)</f>
        <v>124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124</v>
      </c>
      <c r="D42" s="153"/>
      <c r="E42" s="166">
        <f t="shared" si="0"/>
        <v>124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766</v>
      </c>
      <c r="D43" s="149">
        <f>D24+D28+D29+D31+D30+D32+D33+D38</f>
        <v>185</v>
      </c>
      <c r="E43" s="164">
        <f>E24+E28+E29+E31+E30+E32+E33+E38</f>
        <v>581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819</v>
      </c>
      <c r="D44" s="148">
        <f>D43+D21+D19+D9</f>
        <v>185</v>
      </c>
      <c r="E44" s="164">
        <f>E43+E21+E19+E9</f>
        <v>634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100</v>
      </c>
      <c r="D56" s="148">
        <f>D57+D59</f>
        <v>0</v>
      </c>
      <c r="E56" s="165">
        <f t="shared" si="1"/>
        <v>100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100</v>
      </c>
      <c r="D57" s="153">
        <v>0</v>
      </c>
      <c r="E57" s="165">
        <f t="shared" si="1"/>
        <v>100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280</v>
      </c>
      <c r="D62" s="153"/>
      <c r="E62" s="165">
        <f t="shared" si="1"/>
        <v>280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2</v>
      </c>
      <c r="D64" s="153"/>
      <c r="E64" s="165">
        <f t="shared" si="1"/>
        <v>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382</v>
      </c>
      <c r="D66" s="148">
        <f>D52+D56+D61+D62+D63+D64</f>
        <v>0</v>
      </c>
      <c r="E66" s="165">
        <f t="shared" si="1"/>
        <v>382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43</v>
      </c>
      <c r="D75" s="148">
        <f>D76+D78</f>
        <v>0</v>
      </c>
      <c r="E75" s="148">
        <f>E76+E78</f>
        <v>43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43</v>
      </c>
      <c r="D78" s="153">
        <v>0</v>
      </c>
      <c r="E78" s="165">
        <f t="shared" si="1"/>
        <v>43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409</v>
      </c>
      <c r="D85" s="149">
        <f>SUM(D86:D90)+D94</f>
        <v>229</v>
      </c>
      <c r="E85" s="149">
        <f>SUM(E86:E90)+E94</f>
        <v>180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293</v>
      </c>
      <c r="D87" s="153">
        <f>401-108-70</f>
        <v>223</v>
      </c>
      <c r="E87" s="165">
        <f t="shared" si="1"/>
        <v>70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102</v>
      </c>
      <c r="D88" s="153"/>
      <c r="E88" s="165">
        <f t="shared" si="1"/>
        <v>102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8</v>
      </c>
      <c r="D89" s="153">
        <v>6</v>
      </c>
      <c r="E89" s="165">
        <f t="shared" si="1"/>
        <v>2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5</v>
      </c>
      <c r="D90" s="148">
        <f>SUM(D91:D93)</f>
        <v>0</v>
      </c>
      <c r="E90" s="148">
        <f>SUM(E91:E93)</f>
        <v>5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5</v>
      </c>
      <c r="D92" s="153"/>
      <c r="E92" s="165">
        <f t="shared" si="1"/>
        <v>5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1</v>
      </c>
      <c r="D94" s="153">
        <v>0</v>
      </c>
      <c r="E94" s="165">
        <f t="shared" si="1"/>
        <v>1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102</v>
      </c>
      <c r="D95" s="153">
        <v>56</v>
      </c>
      <c r="E95" s="165">
        <f t="shared" si="1"/>
        <v>46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554</v>
      </c>
      <c r="D96" s="149">
        <f>D85+D80+D75+D71+D95</f>
        <v>285</v>
      </c>
      <c r="E96" s="149">
        <f>E85+E80+E75+E71+E95</f>
        <v>269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936</v>
      </c>
      <c r="D97" s="149">
        <f>D96+D68+D66</f>
        <v>285</v>
      </c>
      <c r="E97" s="149">
        <f>E96+E68+E66</f>
        <v>651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7" t="s">
        <v>780</v>
      </c>
      <c r="B107" s="637"/>
      <c r="C107" s="637"/>
      <c r="D107" s="637"/>
      <c r="E107" s="637"/>
      <c r="F107" s="63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6" t="str">
        <f>'справка №1-БАЛАНС'!A98</f>
        <v>Дата на съставяне: 20.02.2016 г</v>
      </c>
      <c r="B109" s="636"/>
      <c r="C109" s="636" t="s">
        <v>381</v>
      </c>
      <c r="D109" s="636"/>
      <c r="E109" s="636"/>
      <c r="F109" s="63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5" t="s">
        <v>781</v>
      </c>
      <c r="D111" s="635"/>
      <c r="E111" s="635"/>
      <c r="F111" s="635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32" sqref="F3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2" t="str">
        <f>'справка №1-БАЛАНС'!E3</f>
        <v>Булгар Чех Инвест Холдинг АД - Смолян</v>
      </c>
      <c r="D4" s="623"/>
      <c r="E4" s="623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2" t="str">
        <f>'справка №1-БАЛАНС'!E5</f>
        <v> 2015 г. 31.12 - 4-ТО ТРИМЕСЕЧИЕ КОНСОЛИДИРАН </v>
      </c>
      <c r="D5" s="643"/>
      <c r="E5" s="643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436</v>
      </c>
      <c r="D12" s="141"/>
      <c r="E12" s="141"/>
      <c r="F12" s="141">
        <f>C12</f>
        <v>436</v>
      </c>
      <c r="G12" s="141"/>
      <c r="H12" s="141"/>
      <c r="I12" s="540">
        <f>F12+G12-H12</f>
        <v>436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476</v>
      </c>
      <c r="D16" s="141"/>
      <c r="E16" s="141"/>
      <c r="F16" s="141">
        <f>C16</f>
        <v>476</v>
      </c>
      <c r="G16" s="141"/>
      <c r="H16" s="141"/>
      <c r="I16" s="540">
        <f t="shared" si="0"/>
        <v>476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912</v>
      </c>
      <c r="D17" s="127">
        <f t="shared" si="1"/>
        <v>0</v>
      </c>
      <c r="E17" s="127">
        <f t="shared" si="1"/>
        <v>0</v>
      </c>
      <c r="F17" s="127">
        <f t="shared" si="1"/>
        <v>912</v>
      </c>
      <c r="G17" s="127">
        <f t="shared" si="1"/>
        <v>0</v>
      </c>
      <c r="H17" s="127">
        <f t="shared" si="1"/>
        <v>0</v>
      </c>
      <c r="I17" s="540">
        <f t="shared" si="0"/>
        <v>912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0</v>
      </c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20.02.2016 г</v>
      </c>
      <c r="B30" s="642"/>
      <c r="C30" s="642"/>
      <c r="D30" s="566" t="s">
        <v>819</v>
      </c>
      <c r="E30" s="641"/>
      <c r="F30" s="641"/>
      <c r="G30" s="641"/>
      <c r="H30" s="518" t="s">
        <v>781</v>
      </c>
      <c r="I30" s="641"/>
      <c r="J30" s="641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32">
      <selection activeCell="H68" sqref="H68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Булгар Чех Инвест Холдинг АД - Смолян</v>
      </c>
      <c r="C5" s="622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2" t="str">
        <f>'справка №1-БАЛАНС'!E5</f>
        <v> 2015 г. 31.12 - 4-ТО ТРИМЕСЕЧИЕ КОНСОЛИДИРАН </v>
      </c>
      <c r="C6" s="643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4"/>
      <c r="C7" s="645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870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25.5">
      <c r="A57" s="66" t="s">
        <v>874</v>
      </c>
      <c r="B57" s="67"/>
      <c r="C57" s="548">
        <f>475-45</f>
        <v>430</v>
      </c>
      <c r="D57" s="548"/>
      <c r="E57" s="548"/>
      <c r="F57" s="550">
        <f t="shared" si="3"/>
        <v>430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483</v>
      </c>
      <c r="D67" s="535"/>
      <c r="E67" s="535">
        <f>SUM(E55:E66)</f>
        <v>0</v>
      </c>
      <c r="F67" s="549">
        <f>SUM(F55:F66)</f>
        <v>483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919</v>
      </c>
      <c r="D68" s="535"/>
      <c r="E68" s="535">
        <f>E67+E53+E44+E27</f>
        <v>0</v>
      </c>
      <c r="F68" s="549">
        <f>F67+F53+F44+F27</f>
        <v>919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20.02.2016 г</v>
      </c>
      <c r="B140" s="559"/>
      <c r="C140" s="644" t="s">
        <v>849</v>
      </c>
      <c r="D140" s="644"/>
      <c r="E140" s="644"/>
      <c r="F140" s="644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44" t="s">
        <v>856</v>
      </c>
      <c r="D142" s="644"/>
      <c r="E142" s="644"/>
      <c r="F142" s="644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2016-02-29T09:29:47Z</cp:lastPrinted>
  <dcterms:created xsi:type="dcterms:W3CDTF">2000-06-29T12:02:40Z</dcterms:created>
  <dcterms:modified xsi:type="dcterms:W3CDTF">2016-02-29T09:49:53Z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