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<sst xmlns="http://schemas.openxmlformats.org/spreadsheetml/2006/main" count="1065" uniqueCount="878">
  <si>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</si>
  <si>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</si>
  <si>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</si>
  <si>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</si>
  <si>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</si>
  <si>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</si>
  <si>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</si>
  <si>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</si>
  <si>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</si>
  <si>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</si>
  <si>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</si>
  <si>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</si>
  <si>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</si>
  <si>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</si>
  <si>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</si>
  <si>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</si>
  <si>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</si>
  <si>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</si>
  <si>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</si>
  <si>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</si>
  <si>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</si>
  <si>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</si>
  <si>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</si>
  <si>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</si>
  <si>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</si>
  <si>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</si>
  <si>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</si>
  <si>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</si>
  <si>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</si>
  <si>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</si>
  <si>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</si>
  <si>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</si>
  <si>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</si>
  <si>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</si>
  <si>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</si>
  <si>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</si>
  <si>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</si>
  <si>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</si>
  <si>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</si>
  <si>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</si>
  <si>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</si>
  <si>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</si>
  <si>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</si>
  <si>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</si>
  <si>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</si>
  <si>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</si>
  <si>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</si>
  <si>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</si>
  <si>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</si>
  <si>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</si>
  <si>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</si>
  <si>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</si>
  <si>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</si>
  <si>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</si>
  <si>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</si>
  <si>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</si>
  <si>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</si>
  <si>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</si>
  <si>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</si>
  <si>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</si>
  <si>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</si>
  <si>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</si>
  <si>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</si>
  <si>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</si>
  <si>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</si>
  <si>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</si>
  <si>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</si>
  <si>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</si>
  <si>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</si>
  <si>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</si>
  <si>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</si>
  <si>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</si>
  <si>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</si>
  <si>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</si>
  <si>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</si>
  <si>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</si>
  <si>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</si>
  <si>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</si>
  <si>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</si>
  <si>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</si>
  <si>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</si>
  <si>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</si>
  <si>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</si>
  <si>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</si>
  <si>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</si>
  <si>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</si>
  <si>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</si>
  <si>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</si>
  <si>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</si>
  <si>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</si>
  <si>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</si>
  <si>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</si>
  <si>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</si>
  <si>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</si>
  <si>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</si>
  <si>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</si>
  <si>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</si>
  <si>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</si>
  <si>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</si>
  <si>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</si>
  <si>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</si>
  <si>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</si>
  <si>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</si>
  <si>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</si>
  <si>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</si>
  <si>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</si>
  <si>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</si>
  <si>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</si>
  <si>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</si>
  <si>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</si>
  <si>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</si>
  <si>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</si>
  <si>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</si>
  <si>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</si>
  <si>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</si>
  <si>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</si>
  <si>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</si>
  <si>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</si>
  <si>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</si>
  <si>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</si>
  <si>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</si>
  <si>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</si>
  <si>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</si>
  <si>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</si>
  <si>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</si>
  <si>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</si>
  <si>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</si>
  <si>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</si>
  <si>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</si>
  <si>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</si>
  <si>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</si>
  <si>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</si>
  <si>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</si>
  <si>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</si>
  <si>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</si>
  <si>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</si>
  <si>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</si>
  <si>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</si>
  <si>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</si>
  <si>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</si>
  <si>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</si>
  <si>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</si>
  <si>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</si>
  <si>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</si>
  <si>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</si>
  <si>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</si>
  <si>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</si>
  <si>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</si>
  <si>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</si>
  <si>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</si>
  <si>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</si>
  <si>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</si>
  <si>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</si>
  <si>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</si>
  <si>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</si>
  <si>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</si>
  <si>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</si>
  <si>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</si>
  <si>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</si>
  <si>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</si>
  <si>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</si>
  <si>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</si>
  <si>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</si>
  <si>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</si>
  <si>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</si>
  <si>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</si>
  <si>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</si>
  <si>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</si>
  <si>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</si>
  <si>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</si>
  <si>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</si>
  <si>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</si>
  <si>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</si>
  <si>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</si>
  <si>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</si>
  <si>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</si>
  <si>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</si>
  <si>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</si>
  <si>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</si>
  <si>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</si>
  <si>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</si>
  <si>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</si>
  <si>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</si>
  <si>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</si>
  <si>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</si>
  <si>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</si>
  <si>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</si>
  <si>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</si>
  <si>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</si>
  <si>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</si>
  <si>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</si>
  <si>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</si>
  <si>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</si>
  <si>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</si>
  <si>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</si>
  <si>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</si>
  <si>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</si>
  <si>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</si>
  <si>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</si>
  <si>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</si>
  <si>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</si>
  <si>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</si>
  <si>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</si>
  <si>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</si>
  <si>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</si>
  <si>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</si>
  <si>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</si>
  <si>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</si>
  <si>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</si>
  <si>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</si>
  <si>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</si>
  <si>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</si>
  <si>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</si>
  <si>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</si>
  <si>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</si>
  <si>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</si>
  <si>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</si>
  <si>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</si>
  <si>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</si>
  <si>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</si>
  <si>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</si>
  <si>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</si>
  <si>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</si>
  <si>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</si>
  <si>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</si>
  <si>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</si>
  <si>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</si>
  <si>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</si>
  <si>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</si>
  <si>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</si>
  <si>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</si>
  <si>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</si>
  <si>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</si>
  <si>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</si>
  <si>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</si>
  <si>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</si>
  <si>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</si>
  <si>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</si>
  <si>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</si>
  <si>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</si>
  <si>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</si>
  <si>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</si>
  <si>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</si>
  <si>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</si>
  <si>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</si>
  <si>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</si>
  <si>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</si>
  <si>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</si>
  <si>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</si>
  <si>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</si>
  <si>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</si>
  <si>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</si>
  <si>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</si>
  <si>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</si>
  <si>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</si>
  <si>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</si>
  <si>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</si>
  <si>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</si>
  <si>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</si>
  <si>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</si>
  <si>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</si>
  <si>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</si>
  <si>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</si>
  <si>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</si>
  <si>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</si>
  <si>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</si>
  <si>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</si>
  <si>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</si>
  <si>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</si>
  <si>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</si>
  <si>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</si>
  <si>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</si>
  <si>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</si>
  <si>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</si>
  <si>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</si>
  <si>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</si>
  <si>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</si>
  <si>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</si>
  <si>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</si>
  <si>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</si>
  <si>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</si>
  <si>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</si>
  <si>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</si>
  <si>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</si>
  <si>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</si>
  <si>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</si>
  <si>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</si>
  <si>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</si>
  <si>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</si>
  <si>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</si>
  <si>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</si>
  <si>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</si>
  <si>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</si>
  <si>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</si>
  <si>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</si>
  <si>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</si>
  <si>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</si>
  <si>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</si>
  <si>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</si>
  <si>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</si>
  <si>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</si>
  <si>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</si>
  <si>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</si>
  <si>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</si>
  <si>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</si>
  <si>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</si>
  <si>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</si>
  <si>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</si>
  <si>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</si>
  <si>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</si>
  <si>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</si>
  <si>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</si>
  <si>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</si>
  <si>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</si>
  <si>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</si>
  <si>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</si>
  <si>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</si>
  <si>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</si>
  <si>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</si>
  <si>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</si>
  <si>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</si>
  <si>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</si>
  <si>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</si>
  <si>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</si>
  <si>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</si>
  <si>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</si>
  <si>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</si>
  <si>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</si>
  <si>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</si>
  <si>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</si>
  <si>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</si>
  <si>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</si>
  <si>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</si>
  <si>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</si>
  <si>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</si>
  <si>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</si>
  <si>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</si>
  <si>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</si>
  <si>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</si>
  <si>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</si>
  <si>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</si>
  <si>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</si>
  <si>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</si>
  <si>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</si>
  <si>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</si>
  <si>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</si>
  <si>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</si>
  <si>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</si>
  <si>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</si>
  <si>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</si>
  <si>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</si>
  <si>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</si>
  <si>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</si>
  <si>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</si>
  <si>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</si>
  <si>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</si>
  <si>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</si>
  <si>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</si>
  <si>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</si>
  <si>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</si>
  <si>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</si>
  <si>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</si>
  <si>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</si>
  <si>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</si>
  <si>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</si>
  <si>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</si>
  <si>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</si>
  <si>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</si>
  <si>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</si>
  <si>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</si>
  <si>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</si>
  <si>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</si>
  <si>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</si>
  <si>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</si>
  <si>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</si>
  <si>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</si>
  <si>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</si>
  <si>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</si>
  <si>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</si>
  <si>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</si>
  <si>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</si>
  <si>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</si>
  <si>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</si>
  <si>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</si>
  <si>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</si>
  <si>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</si>
  <si>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</si>
  <si>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</si>
  <si>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</si>
  <si>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</si>
  <si>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</si>
  <si>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</si>
  <si>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</si>
  <si>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</si>
  <si>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</si>
  <si>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</si>
  <si>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</si>
  <si>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</si>
  <si>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</si>
  <si>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</si>
  <si>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</si>
  <si>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</si>
  <si>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</si>
  <si>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</si>
  <si>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</si>
  <si>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</si>
  <si>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</si>
  <si>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</si>
  <si>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</si>
  <si>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</si>
  <si>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</si>
  <si>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</si>
  <si>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</si>
  <si>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</si>
  <si>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</si>
  <si>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</si>
  <si>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</si>
  <si>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</si>
  <si>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</si>
  <si>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</si>
  <si>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</si>
  <si>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</si>
  <si>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</si>
  <si>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</si>
  <si>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</si>
  <si>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</si>
  <si>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</si>
  <si>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</si>
  <si>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</si>
  <si>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</si>
  <si>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</si>
  <si>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</si>
  <si>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</si>
  <si>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</si>
  <si>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</si>
  <si>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</si>
  <si>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</si>
  <si>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</si>
  <si>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</si>
  <si>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</si>
  <si>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</si>
  <si>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</si>
  <si>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</si>
  <si>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</si>
  <si>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</si>
  <si>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</si>
  <si>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</si>
  <si>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</si>
  <si>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</si>
  <si>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</si>
  <si>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</si>
  <si>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</si>
  <si>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</si>
  <si>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</si>
  <si>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</si>
  <si>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</si>
  <si>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</si>
  <si>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</si>
  <si>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</si>
  <si>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</si>
  <si>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</si>
  <si>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</si>
  <si>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</si>
  <si>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</si>
  <si>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</si>
  <si>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</si>
  <si>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</si>
  <si>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</si>
  <si>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</si>
  <si>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</si>
  <si>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</si>
  <si>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</si>
  <si>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</si>
  <si>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</si>
  <si>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</si>
  <si>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</si>
  <si>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</si>
  <si>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</si>
  <si>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</si>
  <si>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</si>
  <si>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</si>
  <si>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</si>
  <si>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</si>
  <si>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</si>
  <si>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</si>
  <si>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</si>
  <si>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</si>
  <si>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</si>
  <si>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</si>
  <si>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</si>
  <si>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</si>
  <si>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</si>
  <si>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</si>
  <si>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</si>
  <si>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</si>
  <si>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</si>
  <si>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</si>
  <si>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</si>
  <si>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</si>
  <si>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</si>
  <si>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</si>
  <si>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</si>
  <si>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</si>
  <si>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</si>
  <si>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</si>
  <si>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</si>
  <si>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</si>
  <si>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</si>
  <si>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</si>
  <si>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</si>
  <si>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</si>
  <si>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</si>
  <si>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</si>
  <si>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</si>
  <si>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</si>
  <si>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</si>
  <si>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</si>
  <si>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</si>
  <si>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</si>
  <si>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</si>
  <si>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</si>
  <si>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</si>
  <si>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</si>
  <si>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</si>
  <si>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</si>
  <si>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</si>
  <si>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</si>
  <si>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</si>
  <si>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</si>
  <si>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</si>
  <si>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</si>
  <si>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</si>
  <si>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</si>
  <si>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</si>
  <si>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</si>
  <si>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</si>
  <si>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</si>
  <si>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</si>
  <si>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</si>
  <si>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</si>
  <si>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</si>
  <si>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</si>
  <si>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</si>
  <si>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</si>
  <si>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</si>
  <si>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</si>
  <si>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</si>
  <si>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</si>
  <si>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</si>
  <si>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</si>
  <si>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</si>
  <si>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</si>
  <si>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</si>
  <si>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</si>
  <si>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</si>
  <si>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</si>
  <si>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</si>
  <si>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</si>
  <si>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</si>
  <si>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</si>
  <si>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</si>
  <si>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</si>
  <si>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</si>
  <si>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</si>
  <si>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</si>
  <si>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</si>
  <si>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</si>
  <si>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</si>
  <si>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</si>
  <si>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</si>
  <si>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</si>
  <si>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</si>
  <si>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</si>
  <si>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</si>
  <si>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</si>
  <si>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</si>
  <si>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</si>
  <si>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</si>
  <si>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</si>
  <si>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</si>
  <si>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</si>
  <si>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</si>
  <si>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</si>
  <si>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</si>
  <si>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</si>
  <si>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</si>
  <si>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</si>
  <si>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</si>
  <si>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</si>
  <si>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</si>
  <si>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</si>
  <si>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</si>
  <si>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</si>
  <si>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</si>
  <si>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</si>
  <si>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</si>
  <si>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</si>
  <si>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</si>
  <si>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</si>
  <si>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</si>
  <si>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</si>
  <si>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</si>
  <si>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</si>
  <si>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</si>
  <si>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</si>
  <si>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</si>
  <si>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</si>
  <si>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</si>
  <si>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</si>
  <si>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</si>
  <si>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</si>
  <si>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</si>
  <si>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</si>
  <si>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</si>
  <si>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</si>
  <si>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</si>
  <si>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</si>
  <si>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</si>
  <si>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</si>
  <si>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</si>
  <si>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</si>
  <si>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</si>
  <si>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</si>
  <si>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</si>
  <si>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</si>
  <si>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</si>
  <si>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</si>
  <si>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</si>
  <si>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</si>
  <si>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</si>
  <si>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</si>
  <si>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</si>
  <si>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</si>
  <si>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</si>
  <si>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</si>
  <si>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</si>
  <si>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</si>
  <si>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</si>
  <si>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</si>
  <si>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</si>
  <si>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</si>
  <si>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</si>
  <si>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</si>
  <si>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</si>
  <si>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</si>
  <si>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</si>
  <si>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</si>
  <si>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</si>
  <si>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</si>
  <si>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</si>
  <si>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</si>
  <si>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</si>
  <si>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</si>
  <si>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</si>
  <si>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</si>
  <si>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</si>
  <si>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</si>
  <si>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</si>
  <si>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</si>
  <si>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</si>
  <si>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</si>
  <si>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</si>
  <si>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</si>
  <si>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</si>
  <si>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</si>
  <si>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</si>
  <si>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</si>
  <si>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</si>
  <si>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</si>
  <si>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</si>
  <si>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</si>
  <si>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</si>
  <si>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</si>
  <si>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</si>
  <si>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</si>
  <si>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</si>
  <si>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</si>
  <si>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</si>
  <si>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</si>
  <si>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</si>
  <si>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</si>
  <si>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</si>
  <si>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</si>
  <si>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</si>
  <si>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</si>
  <si>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</si>
  <si>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</si>
  <si>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</si>
  <si>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</si>
  <si>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</si>
  <si>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</si>
  <si>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</si>
  <si>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</si>
  <si>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</si>
  <si>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</si>
  <si>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</si>
  <si>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</si>
  <si>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</si>
  <si>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</si>
  <si>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</si>
  <si>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</si>
  <si>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</si>
  <si>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</si>
  <si>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</si>
  <si>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</si>
  <si>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</si>
  <si>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</si>
  <si>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</si>
  <si>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</si>
  <si>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</si>
  <si>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</si>
  <si>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</si>
  <si>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</si>
  <si>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</si>
  <si>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</si>
  <si>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</si>
  <si>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</si>
  <si>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</si>
  <si>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</si>
  <si>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</si>
  <si>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</si>
  <si>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</si>
  <si>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</si>
  <si>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</si>
  <si>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</si>
  <si>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</si>
  <si>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</si>
  <si>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</si>
  <si>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</si>
  <si>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</si>
  <si>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</si>
  <si>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</si>
  <si>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</si>
  <si>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</si>
  <si>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</si>
  <si>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</si>
  <si>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</si>
  <si>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</si>
  <si>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</si>
  <si>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</si>
  <si>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</si>
  <si>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</si>
  <si>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</si>
  <si>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</si>
  <si>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</si>
  <si>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</si>
  <si>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</si>
  <si>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</si>
  <si>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</si>
  <si>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</si>
  <si>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</si>
  <si>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</si>
  <si>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</si>
  <si>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</si>
  <si>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</si>
  <si>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</si>
  <si>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</si>
  <si>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</si>
  <si>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</si>
  <si>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</si>
  <si>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</si>
  <si>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</si>
  <si>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</si>
  <si>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</si>
  <si>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</si>
  <si>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</si>
  <si>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</si>
  <si>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</si>
  <si>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</si>
  <si>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</si>
  <si>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</si>
  <si>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</si>
  <si>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</si>
  <si>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</si>
  <si>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</si>
  <si>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</si>
  <si>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</si>
  <si>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</si>
  <si>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</si>
  <si>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</si>
  <si>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</si>
  <si>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</si>
  <si>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</si>
  <si>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</si>
  <si>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</si>
  <si>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</si>
  <si>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</si>
  <si>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</si>
  <si>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</si>
  <si>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</si>
  <si>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</si>
  <si>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</si>
  <si>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</si>
  <si>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</si>
  <si>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</si>
  <si>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</si>
  <si>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</si>
  <si>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</si>
  <si>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</si>
  <si>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</si>
  <si>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</si>
  <si>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</si>
  <si>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</si>
  <si>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</si>
  <si>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</si>
  <si>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</si>
  <si>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</si>
  <si>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</si>
  <si>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</si>
  <si>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</si>
  <si>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</si>
  <si>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</si>
  <si>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</si>
  <si>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</si>
  <si>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</si>
  <si>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</si>
  <si>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</si>
  <si>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</si>
  <si>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</si>
  <si>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</si>
  <si>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</si>
  <si>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</si>
  <si>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</si>
  <si>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</si>
  <si>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</si>
  <si>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</si>
  <si>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</si>
  <si>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</si>
  <si>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</si>
  <si>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</si>
  <si>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</si>
  <si>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</si>
  <si>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</si>
  <si>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</si>
  <si>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</si>
  <si>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</si>
  <si>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</si>
  <si>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</si>
  <si>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</si>
  <si>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</si>
  <si>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</si>
  <si>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</si>
  <si>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</si>
  <si>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</si>
  <si>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</si>
  <si>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</si>
  <si>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</si>
  <si>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</si>
  <si>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</si>
  <si>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</si>
  <si>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</si>
  <si>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</si>
  <si>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</si>
  <si>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</si>
  <si>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</si>
  <si>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</si>
  <si>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</si>
  <si>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</si>
  <si>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</si>
  <si>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</si>
  <si>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</si>
  <si>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</si>
  <si>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</si>
  <si>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</si>
  <si>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</si>
  <si>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</si>
  <si>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</si>
  <si>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</si>
  <si>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</si>
  <si>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</si>
  <si>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</si>
  <si>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</si>
  <si>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</si>
  <si>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</si>
  <si>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</si>
  <si>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30.01.2013                       </t>
  </si>
  <si>
    <t>Дата на съставяне: 30.01.2013</t>
  </si>
  <si>
    <t>Дата: 30.01.2013…………..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</si>
</sst>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1" applyNumberFormat="1" applyFont="1" applyBorder="1" applyAlignment="1" applyProtection="1">
      <alignment horizontal="left" wrapText="1"/>
      <protection locked="0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B98" sqref="B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0" t="s">
        <v>865</v>
      </c>
      <c r="F3" s="217" t="s">
        <v>2</v>
      </c>
      <c r="G3" s="172"/>
      <c r="H3" s="459">
        <v>103036725</v>
      </c>
    </row>
    <row r="4" spans="1:8" ht="15">
      <c r="A4" s="587" t="s">
        <v>3</v>
      </c>
      <c r="B4" s="589"/>
      <c r="C4" s="589"/>
      <c r="D4" s="589"/>
      <c r="E4" s="502" t="s">
        <v>866</v>
      </c>
      <c r="F4" s="583" t="s">
        <v>4</v>
      </c>
      <c r="G4" s="584"/>
      <c r="H4" s="459" t="s">
        <v>159</v>
      </c>
    </row>
    <row r="5" spans="1:8" ht="15">
      <c r="A5" s="587" t="s">
        <v>5</v>
      </c>
      <c r="B5" s="588"/>
      <c r="C5" s="588"/>
      <c r="D5" s="588"/>
      <c r="E5" s="503">
        <v>41274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7151</v>
      </c>
      <c r="D12" s="151">
        <v>7327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11117</v>
      </c>
      <c r="D13" s="151">
        <v>11589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4304</v>
      </c>
      <c r="D14" s="151">
        <v>4761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223</v>
      </c>
      <c r="D15" s="151">
        <v>244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</v>
      </c>
      <c r="D17" s="151">
        <v>12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38</v>
      </c>
      <c r="D18" s="151">
        <v>59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23389</v>
      </c>
      <c r="D19" s="155">
        <f>SUM(D11:D18)</f>
        <v>24534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8366</v>
      </c>
      <c r="H20" s="158">
        <v>8366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90</v>
      </c>
      <c r="D24" s="151">
        <v>101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15980</v>
      </c>
      <c r="H25" s="154">
        <f>H19+H20+H21</f>
        <v>15980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90</v>
      </c>
      <c r="D27" s="155">
        <f>SUM(D23:D26)</f>
        <v>101</v>
      </c>
      <c r="E27" s="253" t="s">
        <v>83</v>
      </c>
      <c r="F27" s="242" t="s">
        <v>84</v>
      </c>
      <c r="G27" s="154">
        <f>SUM(G28:G30)</f>
        <v>-2967</v>
      </c>
      <c r="H27" s="154">
        <f>SUM(H28:H30)</f>
        <v>-2933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1223</v>
      </c>
      <c r="H28" s="152">
        <v>1223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536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-2431</v>
      </c>
      <c r="H33" s="154">
        <f>H27+H31+H32</f>
        <v>-2967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14160</v>
      </c>
      <c r="H36" s="154">
        <f>H25+H17+H33</f>
        <v>13624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3774+81+393+3053</f>
        <v>7301</v>
      </c>
      <c r="H43" s="152">
        <f>3774+81+393+3053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2933-30-268-869</f>
        <v>1766</v>
      </c>
      <c r="H44" s="152">
        <f>2933-30-268-869</f>
        <v>1766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41</f>
        <v>41</v>
      </c>
      <c r="H48" s="152">
        <f>41</f>
        <v>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9108</v>
      </c>
      <c r="H49" s="154">
        <f>SUM(H43:H48)</f>
        <v>9108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773-207</f>
        <v>566</v>
      </c>
      <c r="H53" s="152">
        <f>773-207</f>
        <v>566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23479</v>
      </c>
      <c r="D55" s="155">
        <f>D19+D20+D21+D27+D32+D45+D51+D53+D54</f>
        <v>24635</v>
      </c>
      <c r="E55" s="237" t="s">
        <v>172</v>
      </c>
      <c r="F55" s="261" t="s">
        <v>173</v>
      </c>
      <c r="G55" s="154">
        <f>G49+G51+G52+G53+G54</f>
        <v>9674</v>
      </c>
      <c r="H55" s="154">
        <f>H49+H51+H52+H53+H54</f>
        <v>9674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547-9</f>
        <v>538</v>
      </c>
      <c r="D58" s="151">
        <v>697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78+1026+11</f>
        <v>1115</v>
      </c>
      <c r="D59" s="151">
        <v>1277</v>
      </c>
      <c r="E59" s="251" t="s">
        <v>181</v>
      </c>
      <c r="F59" s="242" t="s">
        <v>182</v>
      </c>
      <c r="G59" s="152">
        <f>2102+30+268+869-361</f>
        <v>2908</v>
      </c>
      <c r="H59" s="152">
        <f>2103+30+268+869</f>
        <v>3270</v>
      </c>
      <c r="M59" s="157"/>
    </row>
    <row r="60" spans="1:8" ht="15">
      <c r="A60" s="235" t="s">
        <v>183</v>
      </c>
      <c r="B60" s="241" t="s">
        <v>184</v>
      </c>
      <c r="C60" s="151">
        <v>691</v>
      </c>
      <c r="D60" s="151">
        <v>816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f>32+45+127</f>
        <v>204</v>
      </c>
      <c r="D61" s="151">
        <v>89</v>
      </c>
      <c r="E61" s="243" t="s">
        <v>189</v>
      </c>
      <c r="F61" s="272" t="s">
        <v>190</v>
      </c>
      <c r="G61" s="154">
        <f>SUM(G62:G68)</f>
        <v>3592</v>
      </c>
      <c r="H61" s="154">
        <f>SUM(H62:H68)</f>
        <v>2442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132</v>
      </c>
      <c r="H62" s="152">
        <f>120+31</f>
        <v>151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2548</v>
      </c>
      <c r="D64" s="155">
        <f>SUM(D58:D63)</f>
        <v>2879</v>
      </c>
      <c r="E64" s="237" t="s">
        <v>200</v>
      </c>
      <c r="F64" s="242" t="s">
        <v>201</v>
      </c>
      <c r="G64" s="152">
        <v>2791</v>
      </c>
      <c r="H64" s="152">
        <f>8459-3053-3774-81</f>
        <v>1551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95</f>
        <v>95</v>
      </c>
      <c r="H66" s="152">
        <v>130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137+27+55</f>
        <v>219</v>
      </c>
      <c r="H67" s="152">
        <f>88+17+37</f>
        <v>142</v>
      </c>
    </row>
    <row r="68" spans="1:8" ht="15">
      <c r="A68" s="235" t="s">
        <v>211</v>
      </c>
      <c r="B68" s="241" t="s">
        <v>212</v>
      </c>
      <c r="C68" s="151">
        <f>45+3899-93</f>
        <v>3851</v>
      </c>
      <c r="D68" s="151">
        <f>1180-93</f>
        <v>1087</v>
      </c>
      <c r="E68" s="237" t="s">
        <v>213</v>
      </c>
      <c r="F68" s="242" t="s">
        <v>214</v>
      </c>
      <c r="G68" s="152">
        <f>41+144+77+134-41</f>
        <v>355</v>
      </c>
      <c r="H68" s="152">
        <v>468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5+4+69</f>
        <v>78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f>35-35</f>
        <v>0</v>
      </c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6578</v>
      </c>
      <c r="H71" s="161">
        <f>H59+H60+H61+H69+H70</f>
        <v>5725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54+277+19</f>
        <v>350</v>
      </c>
      <c r="D74" s="151">
        <v>218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4201</v>
      </c>
      <c r="D75" s="155">
        <f>SUM(D67:D74)</f>
        <v>1305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6578</v>
      </c>
      <c r="H79" s="162">
        <f>H71+H74+H75+H76</f>
        <v>5725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182</v>
      </c>
      <c r="D88" s="151">
        <v>183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184</v>
      </c>
      <c r="D91" s="155">
        <f>SUM(D87:D90)</f>
        <v>204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6933</v>
      </c>
      <c r="D93" s="155">
        <f>D64+D75+D84+D91+D92</f>
        <v>4388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30412</v>
      </c>
      <c r="D94" s="164">
        <f>D93+D55</f>
        <v>29023</v>
      </c>
      <c r="E94" s="448" t="s">
        <v>270</v>
      </c>
      <c r="F94" s="289" t="s">
        <v>271</v>
      </c>
      <c r="G94" s="165">
        <f>G36+G39+G55+G79</f>
        <v>30412</v>
      </c>
      <c r="H94" s="165">
        <f>H36+H39+H55+H79</f>
        <v>29023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80">
        <v>41304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D55" sqref="D5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"Алфа Ууд България"АД</v>
      </c>
      <c r="C2" s="592"/>
      <c r="D2" s="592"/>
      <c r="E2" s="592"/>
      <c r="F2" s="594" t="s">
        <v>2</v>
      </c>
      <c r="G2" s="594"/>
      <c r="H2" s="524">
        <f>'справка №1-БАЛАНС'!H3</f>
        <v>103036725</v>
      </c>
    </row>
    <row r="3" spans="1:8" ht="15">
      <c r="A3" s="465" t="s">
        <v>275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>
        <f>'справка №1-БАЛАНС'!E5</f>
        <v>41274</v>
      </c>
      <c r="C4" s="593"/>
      <c r="D4" s="59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1624</v>
      </c>
      <c r="D9" s="46">
        <v>1904</v>
      </c>
      <c r="E9" s="298" t="s">
        <v>285</v>
      </c>
      <c r="F9" s="547" t="s">
        <v>286</v>
      </c>
      <c r="G9" s="548">
        <v>2240</v>
      </c>
      <c r="H9" s="548">
        <v>3410</v>
      </c>
    </row>
    <row r="10" spans="1:8" ht="12">
      <c r="A10" s="298" t="s">
        <v>287</v>
      </c>
      <c r="B10" s="299" t="s">
        <v>288</v>
      </c>
      <c r="C10" s="46">
        <v>885</v>
      </c>
      <c r="D10" s="46">
        <v>667</v>
      </c>
      <c r="E10" s="298" t="s">
        <v>289</v>
      </c>
      <c r="F10" s="547" t="s">
        <v>290</v>
      </c>
      <c r="G10" s="548">
        <v>5372</v>
      </c>
      <c r="H10" s="548">
        <v>4597</v>
      </c>
    </row>
    <row r="11" spans="1:8" ht="12">
      <c r="A11" s="298" t="s">
        <v>291</v>
      </c>
      <c r="B11" s="299" t="s">
        <v>292</v>
      </c>
      <c r="C11" s="46">
        <v>787</v>
      </c>
      <c r="D11" s="46">
        <v>784</v>
      </c>
      <c r="E11" s="300" t="s">
        <v>293</v>
      </c>
      <c r="F11" s="547" t="s">
        <v>294</v>
      </c>
      <c r="G11" s="548">
        <v>695</v>
      </c>
      <c r="H11" s="548">
        <v>245</v>
      </c>
    </row>
    <row r="12" spans="1:8" ht="12">
      <c r="A12" s="298" t="s">
        <v>295</v>
      </c>
      <c r="B12" s="299" t="s">
        <v>296</v>
      </c>
      <c r="C12" s="46">
        <v>912</v>
      </c>
      <c r="D12" s="46">
        <v>960</v>
      </c>
      <c r="E12" s="300" t="s">
        <v>78</v>
      </c>
      <c r="F12" s="547" t="s">
        <v>297</v>
      </c>
      <c r="G12" s="548">
        <f>2451+139+225-116-454-16</f>
        <v>2229</v>
      </c>
      <c r="H12" s="548">
        <f>2425-497-421</f>
        <v>1507</v>
      </c>
    </row>
    <row r="13" spans="1:18" ht="12">
      <c r="A13" s="298" t="s">
        <v>298</v>
      </c>
      <c r="B13" s="299" t="s">
        <v>299</v>
      </c>
      <c r="C13" s="46">
        <v>157</v>
      </c>
      <c r="D13" s="46">
        <v>164</v>
      </c>
      <c r="E13" s="301" t="s">
        <v>51</v>
      </c>
      <c r="F13" s="549" t="s">
        <v>300</v>
      </c>
      <c r="G13" s="546">
        <f>SUM(G9:G12)</f>
        <v>10536</v>
      </c>
      <c r="H13" s="546">
        <f>SUM(H9:H12)</f>
        <v>9759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5021+454+116-116-454-16</f>
        <v>5005</v>
      </c>
      <c r="D14" s="46">
        <f>4194+497+421-497-421</f>
        <v>4194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47-4+21</f>
        <v>64</v>
      </c>
      <c r="D15" s="47">
        <v>147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172</v>
      </c>
      <c r="D16" s="47">
        <v>364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9606</v>
      </c>
      <c r="D19" s="49">
        <f>SUM(D9:D15)+D16</f>
        <v>9184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375</v>
      </c>
      <c r="D22" s="46">
        <v>679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17</v>
      </c>
      <c r="D25" s="46">
        <v>15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394</v>
      </c>
      <c r="D26" s="49">
        <f>SUM(D22:D25)</f>
        <v>696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10000</v>
      </c>
      <c r="D28" s="50">
        <f>D26+D19</f>
        <v>9880</v>
      </c>
      <c r="E28" s="127" t="s">
        <v>339</v>
      </c>
      <c r="F28" s="552" t="s">
        <v>340</v>
      </c>
      <c r="G28" s="546">
        <f>G13+G15+G24</f>
        <v>10536</v>
      </c>
      <c r="H28" s="546">
        <f>H13+H15+H24</f>
        <v>9759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536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121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10000</v>
      </c>
      <c r="D33" s="49">
        <f>D28+D31+D32</f>
        <v>9880</v>
      </c>
      <c r="E33" s="127" t="s">
        <v>353</v>
      </c>
      <c r="F33" s="552" t="s">
        <v>354</v>
      </c>
      <c r="G33" s="53">
        <f>G32+G31+G28</f>
        <v>10536</v>
      </c>
      <c r="H33" s="53">
        <f>H32+H31+H28</f>
        <v>9759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536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121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-87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-87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536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34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536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10536</v>
      </c>
      <c r="D42" s="53">
        <f>D33+D35+D39</f>
        <v>9793</v>
      </c>
      <c r="E42" s="128" t="s">
        <v>380</v>
      </c>
      <c r="F42" s="129" t="s">
        <v>381</v>
      </c>
      <c r="G42" s="53">
        <f>G39+G33</f>
        <v>10536</v>
      </c>
      <c r="H42" s="53">
        <f>H39+H33</f>
        <v>9793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5" t="s">
        <v>863</v>
      </c>
      <c r="B45" s="595"/>
      <c r="C45" s="595"/>
      <c r="D45" s="595"/>
      <c r="E45" s="59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9">
        <v>41304</v>
      </c>
      <c r="C48" s="427" t="s">
        <v>382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91"/>
      <c r="E50" s="591"/>
      <c r="F50" s="591"/>
      <c r="G50" s="591"/>
      <c r="H50" s="591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E44" sqref="E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41274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6405</v>
      </c>
      <c r="D10" s="54">
        <v>6249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-3818</v>
      </c>
      <c r="D11" s="54">
        <v>-2773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-1006</v>
      </c>
      <c r="D13" s="54">
        <v>-1143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-576</v>
      </c>
      <c r="D14" s="54">
        <v>-678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-301</v>
      </c>
      <c r="D19" s="54">
        <v>-311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702</v>
      </c>
      <c r="D20" s="55">
        <f>SUM(D10:D19)</f>
        <v>1344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</v>
      </c>
      <c r="D22" s="54">
        <v>-29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605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</v>
      </c>
      <c r="D32" s="55">
        <f>SUM(D22:D31)</f>
        <v>576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-361</v>
      </c>
      <c r="D37" s="54">
        <v>-1302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-357</v>
      </c>
      <c r="D39" s="54">
        <v>-508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-718</v>
      </c>
      <c r="D42" s="55">
        <f>SUM(D34:D41)</f>
        <v>-1810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-20</v>
      </c>
      <c r="D43" s="55">
        <f>D42+D32+D20</f>
        <v>110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204</v>
      </c>
      <c r="D44" s="132">
        <v>94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184</v>
      </c>
      <c r="D45" s="55">
        <f>D44+D43</f>
        <v>204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81">
        <v>41304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B38" sqref="B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9" t="str">
        <f>'справка №1-БАЛАНС'!E3</f>
        <v>"Алфа Ууд България"АД</v>
      </c>
      <c r="C3" s="599"/>
      <c r="D3" s="599"/>
      <c r="E3" s="599"/>
      <c r="F3" s="599"/>
      <c r="G3" s="599"/>
      <c r="H3" s="599"/>
      <c r="I3" s="599"/>
      <c r="J3" s="474"/>
      <c r="K3" s="601" t="s">
        <v>2</v>
      </c>
      <c r="L3" s="601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3">
        <f>'справка №1-БАЛАНС'!E5</f>
        <v>41274</v>
      </c>
      <c r="C5" s="603"/>
      <c r="D5" s="603"/>
      <c r="E5" s="60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8366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1223</v>
      </c>
      <c r="J11" s="58">
        <f>'справка №1-БАЛАНС'!H29+'справка №1-БАЛАНС'!H32</f>
        <v>-4190</v>
      </c>
      <c r="K11" s="60"/>
      <c r="L11" s="344">
        <f>SUM(C11:K11)</f>
        <v>13624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8366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1223</v>
      </c>
      <c r="J15" s="61">
        <f t="shared" si="2"/>
        <v>-4190</v>
      </c>
      <c r="K15" s="61">
        <f t="shared" si="2"/>
        <v>0</v>
      </c>
      <c r="L15" s="344">
        <f t="shared" si="1"/>
        <v>13624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536</v>
      </c>
      <c r="J16" s="345">
        <f>+'справка №1-БАЛАНС'!G32</f>
        <v>0</v>
      </c>
      <c r="K16" s="60"/>
      <c r="L16" s="344">
        <f t="shared" si="1"/>
        <v>536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8366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1759</v>
      </c>
      <c r="J29" s="59">
        <f t="shared" si="6"/>
        <v>-4190</v>
      </c>
      <c r="K29" s="59">
        <f t="shared" si="6"/>
        <v>0</v>
      </c>
      <c r="L29" s="344">
        <f t="shared" si="1"/>
        <v>14160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8366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1759</v>
      </c>
      <c r="J32" s="59">
        <f t="shared" si="7"/>
        <v>-4190</v>
      </c>
      <c r="K32" s="59">
        <f t="shared" si="7"/>
        <v>0</v>
      </c>
      <c r="L32" s="344">
        <f t="shared" si="1"/>
        <v>14160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864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82">
        <v>41304</v>
      </c>
      <c r="B38" s="19"/>
      <c r="C38" s="15"/>
      <c r="D38" s="598" t="s">
        <v>522</v>
      </c>
      <c r="E38" s="598"/>
      <c r="F38" s="598"/>
      <c r="G38" s="598"/>
      <c r="H38" s="598"/>
      <c r="I38" s="598"/>
      <c r="J38" s="15" t="s">
        <v>859</v>
      </c>
      <c r="K38" s="15"/>
      <c r="L38" s="598"/>
      <c r="M38" s="59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"Алфа Ууд България"АД</v>
      </c>
      <c r="D2" s="606"/>
      <c r="E2" s="606"/>
      <c r="F2" s="606"/>
      <c r="G2" s="606"/>
      <c r="H2" s="60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04" t="s">
        <v>5</v>
      </c>
      <c r="B3" s="605"/>
      <c r="C3" s="607">
        <f>'справка №1-БАЛАНС'!E5</f>
        <v>41274</v>
      </c>
      <c r="D3" s="607"/>
      <c r="E3" s="607"/>
      <c r="F3" s="483"/>
      <c r="G3" s="483"/>
      <c r="H3" s="483"/>
      <c r="I3" s="483"/>
      <c r="J3" s="483"/>
      <c r="K3" s="483"/>
      <c r="L3" s="483"/>
      <c r="M3" s="608" t="s">
        <v>4</v>
      </c>
      <c r="N3" s="60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8" t="s">
        <v>530</v>
      </c>
      <c r="R5" s="618" t="s">
        <v>531</v>
      </c>
    </row>
    <row r="6" spans="1:18" s="100" customFormat="1" ht="48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9"/>
      <c r="R6" s="61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8890</v>
      </c>
      <c r="E10" s="189"/>
      <c r="F10" s="189"/>
      <c r="G10" s="74">
        <f aca="true" t="shared" si="2" ref="G10:G39">D10+E10-F10</f>
        <v>8890</v>
      </c>
      <c r="H10" s="65"/>
      <c r="I10" s="65"/>
      <c r="J10" s="74">
        <f aca="true" t="shared" si="3" ref="J10:J39">G10+H10-I10</f>
        <v>8890</v>
      </c>
      <c r="K10" s="65">
        <v>1564</v>
      </c>
      <c r="L10" s="65">
        <v>175</v>
      </c>
      <c r="M10" s="65"/>
      <c r="N10" s="74">
        <f aca="true" t="shared" si="4" ref="N10:N39">K10+L10-M10</f>
        <v>1739</v>
      </c>
      <c r="O10" s="65"/>
      <c r="P10" s="65"/>
      <c r="Q10" s="74">
        <f t="shared" si="0"/>
        <v>1739</v>
      </c>
      <c r="R10" s="74">
        <f t="shared" si="1"/>
        <v>7151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18750</v>
      </c>
      <c r="E11" s="189">
        <f>23+4</f>
        <v>27</v>
      </c>
      <c r="F11" s="189">
        <v>47</v>
      </c>
      <c r="G11" s="74">
        <f t="shared" si="2"/>
        <v>18730</v>
      </c>
      <c r="H11" s="65"/>
      <c r="I11" s="65"/>
      <c r="J11" s="74">
        <f t="shared" si="3"/>
        <v>18730</v>
      </c>
      <c r="K11" s="65">
        <v>7161</v>
      </c>
      <c r="L11" s="65">
        <f>473+5</f>
        <v>478</v>
      </c>
      <c r="M11" s="65">
        <v>26</v>
      </c>
      <c r="N11" s="74">
        <f t="shared" si="4"/>
        <v>7613</v>
      </c>
      <c r="O11" s="65"/>
      <c r="P11" s="65"/>
      <c r="Q11" s="74">
        <f t="shared" si="0"/>
        <v>7613</v>
      </c>
      <c r="R11" s="74">
        <f t="shared" si="1"/>
        <v>11117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7195</v>
      </c>
      <c r="E12" s="189"/>
      <c r="F12" s="189">
        <v>484</v>
      </c>
      <c r="G12" s="74">
        <f t="shared" si="2"/>
        <v>6711</v>
      </c>
      <c r="H12" s="65"/>
      <c r="I12" s="65"/>
      <c r="J12" s="74">
        <f t="shared" si="3"/>
        <v>6711</v>
      </c>
      <c r="K12" s="65">
        <v>2434</v>
      </c>
      <c r="L12" s="65">
        <v>33</v>
      </c>
      <c r="M12" s="65">
        <v>60</v>
      </c>
      <c r="N12" s="74">
        <f t="shared" si="4"/>
        <v>2407</v>
      </c>
      <c r="O12" s="65"/>
      <c r="P12" s="65"/>
      <c r="Q12" s="74">
        <f t="shared" si="0"/>
        <v>2407</v>
      </c>
      <c r="R12" s="74">
        <f t="shared" si="1"/>
        <v>4304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792</v>
      </c>
      <c r="E13" s="189">
        <v>59</v>
      </c>
      <c r="F13" s="189">
        <v>10</v>
      </c>
      <c r="G13" s="74">
        <f t="shared" si="2"/>
        <v>841</v>
      </c>
      <c r="H13" s="65"/>
      <c r="I13" s="65"/>
      <c r="J13" s="74">
        <f t="shared" si="3"/>
        <v>841</v>
      </c>
      <c r="K13" s="65">
        <v>548</v>
      </c>
      <c r="L13" s="65">
        <v>72</v>
      </c>
      <c r="M13" s="65">
        <v>2</v>
      </c>
      <c r="N13" s="74">
        <f t="shared" si="4"/>
        <v>618</v>
      </c>
      <c r="O13" s="65"/>
      <c r="P13" s="65"/>
      <c r="Q13" s="74">
        <f t="shared" si="0"/>
        <v>618</v>
      </c>
      <c r="R13" s="74">
        <f t="shared" si="1"/>
        <v>223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12</v>
      </c>
      <c r="E15" s="455">
        <v>25</v>
      </c>
      <c r="F15" s="455">
        <v>23</v>
      </c>
      <c r="G15" s="74">
        <f t="shared" si="2"/>
        <v>14</v>
      </c>
      <c r="H15" s="456"/>
      <c r="I15" s="456"/>
      <c r="J15" s="74">
        <f t="shared" si="3"/>
        <v>14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14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411</v>
      </c>
      <c r="E16" s="189"/>
      <c r="F16" s="189">
        <v>8</v>
      </c>
      <c r="G16" s="74">
        <f t="shared" si="2"/>
        <v>403</v>
      </c>
      <c r="H16" s="65"/>
      <c r="I16" s="65"/>
      <c r="J16" s="74">
        <f t="shared" si="3"/>
        <v>403</v>
      </c>
      <c r="K16" s="65">
        <v>351</v>
      </c>
      <c r="L16" s="65">
        <v>18</v>
      </c>
      <c r="M16" s="65">
        <v>4</v>
      </c>
      <c r="N16" s="74">
        <f t="shared" si="4"/>
        <v>365</v>
      </c>
      <c r="O16" s="65"/>
      <c r="P16" s="65"/>
      <c r="Q16" s="74">
        <f aca="true" t="shared" si="5" ref="Q16:Q25">N16+O16-P16</f>
        <v>365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36592</v>
      </c>
      <c r="E17" s="194">
        <f>SUM(E9:E16)</f>
        <v>111</v>
      </c>
      <c r="F17" s="194">
        <f>SUM(F9:F16)</f>
        <v>572</v>
      </c>
      <c r="G17" s="74">
        <f t="shared" si="2"/>
        <v>36131</v>
      </c>
      <c r="H17" s="75">
        <f>SUM(H9:H16)</f>
        <v>0</v>
      </c>
      <c r="I17" s="75">
        <f>SUM(I9:I16)</f>
        <v>0</v>
      </c>
      <c r="J17" s="74">
        <f t="shared" si="3"/>
        <v>36131</v>
      </c>
      <c r="K17" s="75">
        <f>SUM(K9:K16)</f>
        <v>12058</v>
      </c>
      <c r="L17" s="75">
        <f>SUM(L9:L16)</f>
        <v>776</v>
      </c>
      <c r="M17" s="75">
        <f>SUM(M9:M16)</f>
        <v>92</v>
      </c>
      <c r="N17" s="74">
        <f t="shared" si="4"/>
        <v>12742</v>
      </c>
      <c r="O17" s="75">
        <f>SUM(O9:O16)</f>
        <v>0</v>
      </c>
      <c r="P17" s="75">
        <f>SUM(P9:P16)</f>
        <v>0</v>
      </c>
      <c r="Q17" s="74">
        <f t="shared" si="5"/>
        <v>12742</v>
      </c>
      <c r="R17" s="74">
        <f t="shared" si="6"/>
        <v>23389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60</v>
      </c>
      <c r="L22" s="65">
        <v>11</v>
      </c>
      <c r="M22" s="65"/>
      <c r="N22" s="74">
        <f t="shared" si="4"/>
        <v>71</v>
      </c>
      <c r="O22" s="65"/>
      <c r="P22" s="65"/>
      <c r="Q22" s="74">
        <f t="shared" si="5"/>
        <v>71</v>
      </c>
      <c r="R22" s="74">
        <f t="shared" si="6"/>
        <v>90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60</v>
      </c>
      <c r="L25" s="66">
        <f t="shared" si="7"/>
        <v>11</v>
      </c>
      <c r="M25" s="66">
        <f t="shared" si="7"/>
        <v>0</v>
      </c>
      <c r="N25" s="67">
        <f t="shared" si="4"/>
        <v>71</v>
      </c>
      <c r="O25" s="66">
        <f t="shared" si="7"/>
        <v>0</v>
      </c>
      <c r="P25" s="66">
        <f t="shared" si="7"/>
        <v>0</v>
      </c>
      <c r="Q25" s="67">
        <f t="shared" si="5"/>
        <v>71</v>
      </c>
      <c r="R25" s="67">
        <f t="shared" si="6"/>
        <v>90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36753</v>
      </c>
      <c r="E40" s="437">
        <f>E17+E18+E19+E25+E38+E39</f>
        <v>111</v>
      </c>
      <c r="F40" s="437">
        <f aca="true" t="shared" si="13" ref="F40:R40">F17+F18+F19+F25+F38+F39</f>
        <v>572</v>
      </c>
      <c r="G40" s="437">
        <f t="shared" si="13"/>
        <v>36292</v>
      </c>
      <c r="H40" s="437">
        <f t="shared" si="13"/>
        <v>0</v>
      </c>
      <c r="I40" s="437">
        <f t="shared" si="13"/>
        <v>0</v>
      </c>
      <c r="J40" s="437">
        <f t="shared" si="13"/>
        <v>36292</v>
      </c>
      <c r="K40" s="437">
        <f t="shared" si="13"/>
        <v>12118</v>
      </c>
      <c r="L40" s="437">
        <f t="shared" si="13"/>
        <v>787</v>
      </c>
      <c r="M40" s="437">
        <f t="shared" si="13"/>
        <v>92</v>
      </c>
      <c r="N40" s="437">
        <f t="shared" si="13"/>
        <v>12813</v>
      </c>
      <c r="O40" s="437">
        <f t="shared" si="13"/>
        <v>0</v>
      </c>
      <c r="P40" s="437">
        <f t="shared" si="13"/>
        <v>0</v>
      </c>
      <c r="Q40" s="437">
        <f t="shared" si="13"/>
        <v>12813</v>
      </c>
      <c r="R40" s="437">
        <f t="shared" si="13"/>
        <v>23479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16" t="s">
        <v>782</v>
      </c>
      <c r="P44" s="617"/>
      <c r="Q44" s="617"/>
      <c r="R44" s="61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7" t="str">
        <f>'справка №1-БАЛАНС'!E3</f>
        <v>"Алфа Ууд България"АД</v>
      </c>
      <c r="C3" s="628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4">
        <f>'справка №1-БАЛАНС'!E5</f>
        <v>41274</v>
      </c>
      <c r="C4" s="625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3851</v>
      </c>
      <c r="D28" s="108">
        <v>3851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350</v>
      </c>
      <c r="D38" s="105">
        <f>SUM(D39:D42)</f>
        <v>350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350</v>
      </c>
      <c r="D42" s="108">
        <v>350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4201</v>
      </c>
      <c r="D43" s="104">
        <f>D24+D28+D29+D31+D30+D32+D33+D38</f>
        <v>4201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4201</v>
      </c>
      <c r="D44" s="103">
        <f>D43+D21+D19+D9</f>
        <v>4201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7301</v>
      </c>
      <c r="D52" s="103">
        <f>SUM(D53:D55)</f>
        <v>0</v>
      </c>
      <c r="E52" s="119">
        <f>C52-D52</f>
        <v>7301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7301</v>
      </c>
      <c r="D54" s="108">
        <v>0</v>
      </c>
      <c r="E54" s="119">
        <f aca="true" t="shared" si="1" ref="E54:E95">C54-D54</f>
        <v>7301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1766</v>
      </c>
      <c r="D56" s="103">
        <f>D57+D59</f>
        <v>0</v>
      </c>
      <c r="E56" s="119">
        <f t="shared" si="1"/>
        <v>1766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1485</v>
      </c>
      <c r="D57" s="108"/>
      <c r="E57" s="119">
        <f t="shared" si="1"/>
        <v>1485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>
        <v>281</v>
      </c>
      <c r="D59" s="108"/>
      <c r="E59" s="119">
        <f t="shared" si="1"/>
        <v>281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41</v>
      </c>
      <c r="D64" s="108"/>
      <c r="E64" s="119">
        <f t="shared" si="1"/>
        <v>41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9108</v>
      </c>
      <c r="D66" s="103">
        <f>D52+D56+D61+D62+D63+D64</f>
        <v>0</v>
      </c>
      <c r="E66" s="119">
        <f t="shared" si="1"/>
        <v>9108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566</v>
      </c>
      <c r="D68" s="108">
        <v>566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132</v>
      </c>
      <c r="D71" s="105">
        <f>SUM(D72:D74)</f>
        <v>132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132</v>
      </c>
      <c r="D74" s="108">
        <v>132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2908</v>
      </c>
      <c r="D75" s="103">
        <f>D76+D78</f>
        <v>2908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2908</v>
      </c>
      <c r="D76" s="108">
        <v>2908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3460</v>
      </c>
      <c r="D85" s="104">
        <f>SUM(D86:D90)+D94</f>
        <v>3460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2791</v>
      </c>
      <c r="D87" s="108">
        <v>2791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95</v>
      </c>
      <c r="D89" s="108">
        <v>95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355</v>
      </c>
      <c r="D90" s="103">
        <f>SUM(D91:D93)</f>
        <v>355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144</v>
      </c>
      <c r="D92" s="108">
        <v>144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211</v>
      </c>
      <c r="D93" s="108">
        <v>211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219</v>
      </c>
      <c r="D94" s="108">
        <v>219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78</v>
      </c>
      <c r="D95" s="108">
        <v>78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6578</v>
      </c>
      <c r="D96" s="104">
        <f>D85+D80+D75+D71+D95</f>
        <v>6578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16252</v>
      </c>
      <c r="D97" s="104">
        <f>D96+D68+D66</f>
        <v>7144</v>
      </c>
      <c r="E97" s="104">
        <f>E96+E68+E66</f>
        <v>9108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>
        <v>41304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9" t="str">
        <f>'справка №1-БАЛАНС'!E3</f>
        <v>"Алфа Ууд България"АД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103036725</v>
      </c>
    </row>
    <row r="5" spans="1:9" ht="15">
      <c r="A5" s="499" t="s">
        <v>5</v>
      </c>
      <c r="B5" s="630">
        <f>'справка №1-БАЛАНС'!E5</f>
        <v>41274</v>
      </c>
      <c r="C5" s="630"/>
      <c r="D5" s="630"/>
      <c r="E5" s="630"/>
      <c r="F5" s="630"/>
      <c r="G5" s="633" t="s">
        <v>4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32"/>
      <c r="C30" s="632"/>
      <c r="D30" s="457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7">
      <selection activeCell="A37" sqref="A37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/>
      <c r="C5" s="636"/>
      <c r="D5" s="636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7">
        <f>'справка №1-БАЛАНС'!E5</f>
        <v>41274</v>
      </c>
      <c r="C6" s="63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876</v>
      </c>
      <c r="B151" s="452"/>
      <c r="C151" s="638" t="s">
        <v>850</v>
      </c>
      <c r="D151" s="638"/>
      <c r="E151" s="638"/>
      <c r="F151" s="63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8" t="s">
        <v>858</v>
      </c>
      <c r="D153" s="638"/>
      <c r="E153" s="638"/>
      <c r="F153" s="63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2013-01-29T12:49:07Z</cp:lastPrinted>
  <dcterms:created xsi:type="dcterms:W3CDTF">2000-06-29T12:02:40Z</dcterms:created>
  <dcterms:modified xsi:type="dcterms:W3CDTF">2013-02-07T07:45:55Z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