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<sst xmlns="http://schemas.openxmlformats.org/spreadsheetml/2006/main" count="1074" uniqueCount="894">
  <si>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</si>
  <si>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</si>
  <si>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</si>
  <si>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</si>
  <si>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</si>
  <si>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</si>
  <si>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</si>
  <si>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</si>
  <si>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</si>
  <si>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</si>
  <si>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</si>
  <si>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</si>
  <si>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</si>
  <si>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</si>
  <si>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</si>
  <si>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</si>
  <si>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</si>
  <si>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</si>
  <si>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</si>
  <si>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</si>
  <si>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</si>
  <si>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</si>
  <si>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</si>
  <si>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</si>
  <si>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</si>
  <si>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</si>
  <si>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</si>
  <si>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</si>
  <si>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</si>
  <si>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</si>
  <si>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</si>
  <si>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</si>
  <si>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</si>
  <si>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</si>
  <si>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</si>
  <si>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</si>
  <si>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</si>
  <si>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</si>
  <si>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</si>
  <si>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</si>
  <si>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</si>
  <si>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</si>
  <si>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</si>
  <si>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</si>
  <si>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</si>
  <si>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</si>
  <si>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</si>
  <si>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</si>
  <si>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</si>
  <si>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</si>
  <si>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</si>
  <si>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</si>
  <si>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</si>
  <si>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</si>
  <si>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</si>
  <si>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</si>
  <si>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</si>
  <si>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</si>
  <si>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</si>
  <si>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</si>
  <si>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</si>
  <si>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</si>
  <si>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</si>
  <si>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</si>
  <si>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</si>
  <si>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</si>
  <si>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</si>
  <si>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</si>
  <si>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</si>
  <si>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</si>
  <si>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</si>
  <si>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</si>
  <si>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</si>
  <si>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</si>
  <si>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</si>
  <si>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</si>
  <si>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</si>
  <si>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</si>
  <si>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</si>
  <si>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</si>
  <si>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</si>
  <si>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</si>
  <si>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</si>
  <si>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</si>
  <si>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</si>
  <si>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</si>
  <si>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</si>
  <si>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</si>
  <si>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</si>
  <si>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</si>
  <si>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</si>
  <si>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</si>
  <si>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</si>
  <si>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</si>
  <si>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</si>
  <si>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</si>
  <si>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</si>
  <si>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</si>
  <si>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</si>
  <si>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</si>
  <si>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</si>
  <si>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</si>
  <si>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</si>
  <si>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</si>
  <si>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</si>
  <si>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</si>
  <si>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</si>
  <si>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</si>
  <si>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</si>
  <si>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</si>
  <si>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</si>
  <si>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</si>
  <si>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</si>
  <si>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</si>
  <si>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</si>
  <si>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</si>
  <si>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</si>
  <si>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</si>
  <si>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</si>
  <si>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</si>
  <si>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</si>
  <si>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</si>
  <si>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</si>
  <si>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</si>
  <si>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</si>
  <si>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</si>
  <si>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</si>
  <si>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</si>
  <si>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</si>
  <si>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</si>
  <si>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</si>
  <si>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</si>
  <si>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</si>
  <si>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</si>
  <si>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</si>
  <si>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</si>
  <si>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</si>
  <si>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</si>
  <si>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</si>
  <si>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</si>
  <si>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</si>
  <si>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</si>
  <si>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</si>
  <si>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</si>
  <si>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</si>
  <si>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</si>
  <si>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</si>
  <si>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</si>
  <si>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</si>
  <si>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</si>
  <si>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</si>
  <si>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</si>
  <si>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</si>
  <si>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</si>
  <si>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</si>
  <si>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</si>
  <si>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</si>
  <si>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</si>
  <si>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</si>
  <si>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</si>
  <si>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</si>
  <si>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</si>
  <si>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</si>
  <si>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</si>
  <si>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</si>
  <si>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</si>
  <si>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</si>
  <si>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</si>
  <si>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</si>
  <si>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</si>
  <si>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</si>
  <si>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</si>
  <si>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</si>
  <si>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</si>
  <si>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</si>
  <si>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</si>
  <si>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</si>
  <si>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</si>
  <si>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</si>
  <si>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</si>
  <si>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</si>
  <si>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</si>
  <si>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</si>
  <si>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</si>
  <si>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</si>
  <si>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</si>
  <si>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</si>
  <si>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</si>
  <si>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</si>
  <si>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</si>
  <si>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</si>
  <si>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</si>
  <si>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</si>
  <si>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</si>
  <si>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</si>
  <si>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</si>
  <si>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</si>
  <si>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</si>
  <si>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</si>
  <si>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</si>
  <si>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</si>
  <si>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</si>
  <si>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</si>
  <si>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</si>
  <si>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</si>
  <si>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</si>
  <si>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</si>
  <si>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</si>
  <si>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</si>
  <si>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</si>
  <si>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</si>
  <si>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</si>
  <si>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</si>
  <si>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</si>
  <si>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</si>
  <si>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</si>
  <si>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</si>
  <si>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</si>
  <si>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</si>
  <si>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</si>
  <si>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</si>
  <si>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</si>
  <si>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</si>
  <si>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</si>
  <si>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</si>
  <si>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</si>
  <si>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</si>
  <si>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</si>
  <si>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</si>
  <si>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</si>
  <si>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</si>
  <si>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</si>
  <si>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</si>
  <si>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</si>
  <si>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</si>
  <si>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</si>
  <si>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</si>
  <si>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</si>
  <si>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</si>
  <si>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</si>
  <si>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</si>
  <si>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</si>
  <si>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</si>
  <si>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</si>
  <si>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</si>
  <si>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</si>
  <si>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</si>
  <si>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</si>
  <si>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</si>
  <si>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</si>
  <si>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</si>
  <si>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</si>
  <si>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</si>
  <si>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</si>
  <si>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</si>
  <si>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</si>
  <si>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</si>
  <si>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</si>
  <si>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</si>
  <si>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</si>
  <si>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</si>
  <si>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</si>
  <si>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</si>
  <si>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</si>
  <si>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</si>
  <si>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</si>
  <si>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</si>
  <si>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</si>
  <si>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</si>
  <si>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</si>
  <si>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</si>
  <si>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</si>
  <si>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</si>
  <si>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</si>
  <si>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</si>
  <si>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</si>
  <si>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</si>
  <si>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</si>
  <si>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</si>
  <si>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</si>
  <si>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</si>
  <si>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</si>
  <si>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</si>
  <si>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</si>
  <si>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</si>
  <si>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</si>
  <si>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</si>
  <si>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</si>
  <si>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</si>
  <si>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</si>
  <si>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</si>
  <si>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</si>
  <si>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</si>
  <si>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</si>
  <si>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</si>
  <si>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</si>
  <si>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</si>
  <si>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</si>
  <si>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</si>
  <si>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</si>
  <si>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</si>
  <si>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</si>
  <si>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</si>
  <si>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</si>
  <si>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</si>
  <si>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</si>
  <si>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</si>
  <si>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</si>
  <si>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</si>
  <si>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</si>
  <si>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</si>
  <si>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</si>
  <si>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</si>
  <si>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</si>
  <si>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</si>
  <si>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</si>
  <si>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</si>
  <si>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</si>
  <si>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</si>
  <si>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</si>
  <si>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</si>
  <si>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</si>
  <si>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</si>
  <si>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</si>
  <si>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</si>
  <si>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</si>
  <si>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</si>
  <si>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</si>
  <si>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</si>
  <si>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</si>
  <si>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</si>
  <si>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</si>
  <si>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</si>
  <si>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</si>
  <si>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</si>
  <si>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</si>
  <si>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</si>
  <si>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</si>
  <si>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</si>
  <si>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</si>
  <si>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</si>
  <si>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</si>
  <si>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</si>
  <si>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</si>
  <si>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</si>
  <si>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</si>
  <si>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</si>
  <si>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</si>
  <si>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</si>
  <si>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</si>
  <si>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</si>
  <si>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</si>
  <si>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</si>
  <si>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</si>
  <si>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</si>
  <si>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</si>
  <si>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</si>
  <si>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</si>
  <si>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</si>
  <si>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</si>
  <si>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</si>
  <si>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</si>
  <si>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</si>
  <si>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</si>
  <si>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</si>
  <si>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</si>
  <si>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</si>
  <si>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</si>
  <si>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</si>
  <si>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</si>
  <si>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</si>
  <si>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</si>
  <si>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</si>
  <si>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</si>
  <si>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</si>
  <si>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</si>
  <si>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</si>
  <si>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</si>
  <si>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</si>
  <si>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</si>
  <si>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</si>
  <si>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</si>
  <si>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</si>
  <si>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</si>
  <si>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</si>
  <si>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</si>
  <si>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</si>
  <si>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</si>
  <si>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</si>
  <si>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</si>
  <si>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</si>
  <si>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</si>
  <si>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</si>
  <si>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</si>
  <si>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</si>
  <si>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</si>
  <si>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</si>
  <si>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</si>
  <si>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</si>
  <si>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</si>
  <si>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</si>
  <si>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</si>
  <si>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</si>
  <si>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</si>
  <si>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</si>
  <si>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</si>
  <si>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</si>
  <si>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</si>
  <si>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</si>
  <si>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</si>
  <si>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</si>
  <si>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</si>
  <si>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</si>
  <si>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</si>
  <si>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</si>
  <si>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</si>
  <si>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</si>
  <si>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</si>
  <si>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</si>
  <si>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</si>
  <si>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</si>
  <si>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</si>
  <si>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</si>
  <si>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</si>
  <si>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</si>
  <si>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</si>
  <si>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</si>
  <si>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</si>
  <si>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</si>
  <si>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</si>
  <si>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</si>
  <si>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</si>
  <si>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</si>
  <si>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</si>
  <si>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</si>
  <si>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</si>
  <si>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</si>
  <si>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</si>
  <si>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</si>
  <si>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</si>
  <si>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</si>
  <si>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</si>
  <si>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</si>
  <si>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</si>
  <si>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</si>
  <si>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</si>
  <si>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</si>
  <si>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</si>
  <si>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</si>
  <si>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</si>
  <si>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</si>
  <si>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</si>
  <si>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</si>
  <si>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</si>
  <si>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</si>
  <si>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</si>
  <si>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</si>
  <si>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</si>
  <si>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</si>
  <si>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</si>
  <si>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</si>
  <si>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</si>
  <si>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</si>
  <si>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</si>
  <si>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</si>
  <si>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</si>
  <si>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</si>
  <si>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</si>
  <si>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</si>
  <si>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</si>
  <si>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</si>
  <si>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</si>
  <si>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</si>
  <si>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</si>
  <si>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</si>
  <si>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</si>
  <si>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</si>
  <si>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</si>
  <si>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</si>
  <si>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</si>
  <si>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</si>
  <si>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</si>
  <si>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</si>
  <si>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</si>
  <si>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</si>
  <si>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</si>
  <si>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</si>
  <si>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</si>
  <si>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</si>
  <si>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</si>
  <si>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</si>
  <si>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</si>
  <si>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</si>
  <si>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</si>
  <si>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</si>
  <si>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</si>
  <si>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</si>
  <si>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</si>
  <si>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</si>
  <si>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</si>
  <si>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</si>
  <si>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</si>
  <si>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</si>
  <si>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</si>
  <si>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</si>
  <si>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</si>
  <si>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</si>
  <si>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</si>
  <si>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</si>
  <si>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</si>
  <si>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</si>
  <si>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</si>
  <si>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</si>
  <si>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</si>
  <si>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</si>
  <si>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</si>
  <si>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</si>
  <si>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</si>
  <si>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</si>
  <si>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</si>
  <si>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</si>
  <si>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</si>
  <si>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</si>
  <si>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</si>
  <si>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</si>
  <si>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</si>
  <si>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</si>
  <si>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</si>
  <si>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</si>
  <si>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</si>
  <si>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</si>
  <si>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</si>
  <si>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</si>
  <si>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</si>
  <si>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</si>
  <si>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</si>
  <si>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</si>
  <si>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</si>
  <si>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</si>
  <si>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</si>
  <si>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</si>
  <si>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</si>
  <si>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</si>
  <si>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</si>
  <si>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</si>
  <si>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</si>
  <si>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</si>
  <si>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</si>
  <si>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</si>
  <si>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</si>
  <si>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</si>
  <si>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</si>
  <si>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</si>
  <si>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</si>
  <si>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</si>
  <si>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</si>
  <si>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</si>
  <si>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</si>
  <si>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</si>
  <si>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</si>
  <si>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</si>
  <si>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</si>
  <si>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</si>
  <si>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</si>
  <si>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</si>
  <si>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</si>
  <si>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</si>
  <si>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</si>
  <si>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</si>
  <si>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</si>
  <si>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</si>
  <si>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</si>
  <si>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</si>
  <si>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</si>
  <si>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</si>
  <si>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</si>
  <si>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</si>
  <si>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</si>
  <si>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</si>
  <si>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</si>
  <si>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</si>
  <si>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</si>
  <si>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</si>
  <si>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</si>
  <si>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</si>
  <si>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</si>
  <si>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</si>
  <si>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</si>
  <si>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</si>
  <si>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</si>
  <si>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</si>
  <si>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</si>
  <si>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</si>
  <si>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</si>
  <si>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</si>
  <si>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</si>
  <si>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</si>
  <si>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</si>
  <si>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</si>
  <si>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</si>
  <si>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</si>
  <si>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</si>
  <si>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</si>
  <si>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</si>
  <si>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</si>
  <si>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</si>
  <si>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</si>
  <si>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</si>
  <si>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</si>
  <si>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</si>
  <si>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</si>
  <si>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</si>
  <si>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</si>
  <si>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</si>
  <si>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</si>
  <si>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</si>
  <si>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</si>
  <si>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</si>
  <si>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</si>
  <si>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</si>
  <si>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</si>
  <si>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</si>
  <si>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</si>
  <si>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</si>
  <si>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</si>
  <si>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</si>
  <si>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</si>
  <si>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</si>
  <si>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</si>
  <si>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</si>
  <si>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</si>
  <si>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</si>
  <si>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</si>
  <si>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</si>
  <si>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</si>
  <si>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</si>
  <si>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</si>
  <si>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</si>
  <si>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</si>
  <si>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</si>
  <si>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</si>
  <si>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</si>
  <si>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</si>
  <si>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</si>
  <si>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</si>
  <si>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</si>
  <si>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</si>
  <si>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</si>
  <si>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</si>
  <si>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</si>
  <si>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</si>
  <si>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</si>
  <si>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</si>
  <si>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</si>
  <si>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</si>
  <si>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</si>
  <si>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</si>
  <si>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</si>
  <si>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</si>
  <si>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</si>
  <si>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</si>
  <si>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</si>
  <si>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</si>
  <si>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</si>
  <si>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</si>
  <si>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</si>
  <si>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</si>
  <si>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</si>
  <si>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</si>
  <si>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</si>
  <si>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</si>
  <si>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</si>
  <si>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</si>
  <si>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</si>
  <si>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</si>
  <si>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</si>
  <si>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</si>
  <si>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</si>
  <si>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</si>
  <si>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</si>
  <si>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</si>
  <si>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</si>
  <si>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</si>
  <si>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</si>
  <si>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</si>
  <si>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</si>
  <si>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</si>
  <si>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</si>
  <si>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</si>
  <si>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</si>
  <si>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</si>
  <si>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</si>
  <si>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</si>
  <si>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</si>
  <si>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</si>
  <si>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</si>
  <si>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</si>
  <si>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</si>
  <si>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</si>
  <si>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</si>
  <si>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</si>
  <si>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</si>
  <si>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</si>
  <si>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</si>
  <si>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</si>
  <si>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</si>
  <si>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</si>
  <si>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</si>
  <si>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</si>
  <si>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</si>
  <si>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</si>
  <si>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</si>
  <si>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</si>
  <si>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</si>
  <si>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</si>
  <si>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</si>
  <si>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</si>
  <si>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</si>
  <si>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</si>
  <si>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</si>
  <si>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</si>
  <si>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</si>
  <si>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</si>
  <si>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</si>
  <si>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</si>
  <si>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</si>
  <si>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</si>
  <si>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</si>
  <si>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</si>
  <si>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</si>
  <si>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</si>
  <si>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</si>
  <si>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</si>
  <si>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</si>
  <si>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</si>
  <si>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</si>
  <si>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</si>
  <si>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</si>
  <si>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</si>
  <si>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</si>
  <si>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</si>
  <si>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</si>
  <si>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</si>
  <si>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</si>
  <si>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</si>
  <si>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</si>
  <si>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</si>
  <si>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</si>
  <si>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</si>
  <si>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</si>
  <si>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</si>
  <si>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</si>
  <si>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</si>
  <si>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</si>
  <si>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</si>
  <si>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</si>
  <si>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</si>
  <si>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</si>
  <si>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</si>
  <si>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</si>
  <si>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</si>
  <si>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</si>
  <si>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</si>
  <si>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</si>
  <si>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</si>
  <si>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</si>
  <si>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</si>
  <si>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</si>
  <si>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</si>
  <si>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</si>
  <si>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</si>
  <si>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</si>
  <si>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</si>
  <si>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</si>
  <si>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</si>
  <si>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</si>
  <si>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</si>
  <si>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</si>
  <si>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</si>
  <si>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</si>
  <si>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</si>
  <si>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</si>
  <si>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</si>
  <si>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</si>
  <si>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</si>
  <si>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</si>
  <si>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</si>
  <si>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</si>
  <si>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</si>
  <si>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</si>
  <si>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</si>
  <si>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</si>
  <si>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</si>
  <si>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</si>
  <si>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</si>
  <si>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</si>
  <si>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</si>
  <si>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</si>
  <si>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</si>
  <si>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</si>
  <si>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</si>
  <si>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</si>
  <si>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</si>
  <si>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</si>
  <si>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</si>
  <si>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</si>
  <si>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</si>
  <si>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</si>
  <si>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</si>
  <si>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</si>
  <si>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</si>
  <si>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</si>
  <si>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</si>
  <si>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</si>
  <si>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</si>
  <si>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</si>
  <si>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</si>
  <si>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</si>
  <si>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</si>
  <si>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</si>
  <si>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</si>
  <si>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</si>
  <si>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</si>
  <si>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</si>
  <si>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</si>
  <si>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</si>
  <si>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</si>
  <si>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</si>
  <si>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</si>
  <si>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</si>
  <si>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</si>
  <si>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</si>
  <si>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</si>
  <si>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</si>
  <si>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</si>
  <si>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</si>
  <si>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</si>
  <si>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</si>
  <si>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</si>
  <si>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</si>
  <si>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</si>
  <si>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</si>
  <si>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</si>
  <si>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</si>
  <si>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</si>
  <si>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</si>
  <si>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</si>
  <si>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</si>
  <si>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</si>
  <si>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</si>
  <si>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</si>
  <si>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</si>
  <si>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</si>
  <si>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</si>
  <si>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</si>
  <si>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</si>
  <si>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</si>
  <si>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</si>
  <si>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</si>
  <si>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</si>
  <si>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</si>
  <si>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</si>
  <si>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</si>
  <si>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</si>
  <si>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</si>
  <si>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</si>
  <si>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</si>
  <si>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</si>
  <si>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</si>
  <si>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</si>
  <si>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</si>
  <si>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</si>
  <si>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</si>
  <si>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</si>
  <si>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</si>
  <si>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</si>
  <si>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</si>
  <si>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</si>
  <si>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</si>
  <si>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</si>
  <si>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</si>
  <si>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</si>
  <si>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</si>
  <si>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</si>
  <si>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</si>
  <si>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</si>
  <si>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</si>
  <si>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</si>
  <si>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>Дата на съставяне:25.10.2013 г.</t>
  </si>
  <si>
    <t>Дата на съставяне: 25.10.2013 г.</t>
  </si>
  <si>
    <t>Дата на съставяне: 27.01.2014 г.</t>
  </si>
  <si>
    <t xml:space="preserve">Дата на съставяне: 27.01.2014 г.                                    </t>
  </si>
  <si>
    <t xml:space="preserve">Дата  на съставяне:27.01.2014 г.                                                                                                                              </t>
  </si>
  <si>
    <t xml:space="preserve">Дата на съставяне:27.01.2014 г.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</si>
</sst>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4" applyFont="1">
      <alignment/>
      <protection/>
    </xf>
    <xf numFmtId="1" fontId="10" fillId="0" borderId="0" xfId="26" applyNumberFormat="1" applyFont="1" applyProtection="1">
      <alignment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62" sqref="G62:G6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41639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29034</v>
      </c>
      <c r="D11" s="205">
        <v>41467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250421</v>
      </c>
      <c r="D12" s="205">
        <v>252171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2411</v>
      </c>
      <c r="D13" s="205">
        <v>2900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21670</v>
      </c>
      <c r="D14" s="205">
        <v>22459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932</v>
      </c>
      <c r="D15" s="205">
        <v>907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1741</v>
      </c>
      <c r="D16" s="205">
        <v>1982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5255</v>
      </c>
      <c r="D17" s="205">
        <v>4247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311464</v>
      </c>
      <c r="D19" s="209">
        <f>SUM(D11:D18)</f>
        <v>326133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23438</v>
      </c>
      <c r="D20" s="205">
        <v>13236</v>
      </c>
      <c r="E20" s="293" t="s">
        <v>56</v>
      </c>
      <c r="F20" s="298" t="s">
        <v>57</v>
      </c>
      <c r="G20" s="212">
        <v>80147</v>
      </c>
      <c r="H20" s="212">
        <v>80147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204624</v>
      </c>
      <c r="H21" s="210">
        <f>SUM(H22:H24)</f>
        <v>205692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516</v>
      </c>
      <c r="D24" s="205">
        <v>149</v>
      </c>
      <c r="E24" s="293" t="s">
        <v>71</v>
      </c>
      <c r="F24" s="298" t="s">
        <v>72</v>
      </c>
      <c r="G24" s="206">
        <v>204197</v>
      </c>
      <c r="H24" s="206">
        <v>205265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284771</v>
      </c>
      <c r="H25" s="208">
        <f>H19+H20+H21</f>
        <v>285839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1401</v>
      </c>
      <c r="D26" s="205">
        <v>958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1917</v>
      </c>
      <c r="D27" s="209">
        <f>SUM(D23:D26)</f>
        <v>1107</v>
      </c>
      <c r="E27" s="309" t="s">
        <v>82</v>
      </c>
      <c r="F27" s="298" t="s">
        <v>83</v>
      </c>
      <c r="G27" s="208">
        <f>SUM(G28:G30)</f>
        <v>59321</v>
      </c>
      <c r="H27" s="208">
        <f>SUM(H28:H30)</f>
        <v>45740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59321</v>
      </c>
      <c r="H28" s="206">
        <v>45740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15060</v>
      </c>
      <c r="H31" s="206">
        <v>16690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74381</v>
      </c>
      <c r="H33" s="208">
        <f>H27+H31+H32</f>
        <v>62430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102247</v>
      </c>
      <c r="D34" s="209">
        <f>SUM(D35:D38)</f>
        <v>82321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100126</v>
      </c>
      <c r="D35" s="205">
        <v>80200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361889</v>
      </c>
      <c r="H36" s="208">
        <f>H25+H17+H33</f>
        <v>351006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5512</v>
      </c>
      <c r="H43" s="206">
        <v>8202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37432</v>
      </c>
      <c r="H44" s="206">
        <v>48878</v>
      </c>
    </row>
    <row r="45" spans="1:15" ht="15">
      <c r="A45" s="291" t="s">
        <v>135</v>
      </c>
      <c r="B45" s="305" t="s">
        <v>136</v>
      </c>
      <c r="C45" s="209">
        <f>C34+C39+C44</f>
        <v>102247</v>
      </c>
      <c r="D45" s="209">
        <f>D34+D39+D44</f>
        <v>82321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1721</v>
      </c>
      <c r="D47" s="205">
        <v>7993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171</v>
      </c>
      <c r="H48" s="206">
        <v>310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43115</v>
      </c>
      <c r="H49" s="208">
        <f>SUM(H43:H48)</f>
        <v>57390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f>95+1150</f>
        <v>1245</v>
      </c>
      <c r="D50" s="205">
        <v>489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2966</v>
      </c>
      <c r="D51" s="209">
        <f>SUM(D47:D50)</f>
        <v>8482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14184</v>
      </c>
      <c r="H53" s="206">
        <v>14184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442032</v>
      </c>
      <c r="D55" s="209">
        <f>D19+D20+D21+D27+D32+D45+D51+D53+D54</f>
        <v>431279</v>
      </c>
      <c r="E55" s="293" t="s">
        <v>171</v>
      </c>
      <c r="F55" s="317" t="s">
        <v>172</v>
      </c>
      <c r="G55" s="208">
        <f>G49+G51+G52+G53+G54</f>
        <v>57299</v>
      </c>
      <c r="H55" s="208">
        <f>H49+H51+H52+H53+H54</f>
        <v>71574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1763</v>
      </c>
      <c r="D58" s="205">
        <v>1567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14229</v>
      </c>
      <c r="H59" s="206">
        <v>13694</v>
      </c>
      <c r="M59" s="211"/>
    </row>
    <row r="60" spans="1:8" ht="15">
      <c r="A60" s="291" t="s">
        <v>182</v>
      </c>
      <c r="B60" s="297" t="s">
        <v>183</v>
      </c>
      <c r="C60" s="205">
        <v>543</v>
      </c>
      <c r="D60" s="205">
        <v>392</v>
      </c>
      <c r="E60" s="293" t="s">
        <v>184</v>
      </c>
      <c r="F60" s="298" t="s">
        <v>185</v>
      </c>
      <c r="G60" s="206">
        <v>3981</v>
      </c>
      <c r="H60" s="206">
        <v>1879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9401</v>
      </c>
      <c r="H61" s="208">
        <f>SUM(H62:H68)</f>
        <v>5751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1944</v>
      </c>
      <c r="H62" s="206">
        <v>1021</v>
      </c>
    </row>
    <row r="63" spans="1:13" ht="15">
      <c r="A63" s="291" t="s">
        <v>194</v>
      </c>
      <c r="B63" s="297" t="s">
        <v>195</v>
      </c>
      <c r="C63" s="205">
        <v>6</v>
      </c>
      <c r="D63" s="205">
        <v>6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2312</v>
      </c>
      <c r="D64" s="209">
        <f>SUM(D58:D63)</f>
        <v>1965</v>
      </c>
      <c r="E64" s="293" t="s">
        <v>199</v>
      </c>
      <c r="F64" s="298" t="s">
        <v>200</v>
      </c>
      <c r="G64" s="206">
        <v>3862</v>
      </c>
      <c r="H64" s="206">
        <v>1328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2955</v>
      </c>
      <c r="H65" s="206">
        <v>1996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334</v>
      </c>
      <c r="H66" s="206">
        <v>312</v>
      </c>
    </row>
    <row r="67" spans="1:8" ht="15">
      <c r="A67" s="291" t="s">
        <v>206</v>
      </c>
      <c r="B67" s="297" t="s">
        <v>207</v>
      </c>
      <c r="C67" s="205">
        <v>411</v>
      </c>
      <c r="D67" s="205">
        <v>7698</v>
      </c>
      <c r="E67" s="293" t="s">
        <v>208</v>
      </c>
      <c r="F67" s="298" t="s">
        <v>209</v>
      </c>
      <c r="G67" s="206">
        <v>97</v>
      </c>
      <c r="H67" s="206">
        <v>86</v>
      </c>
    </row>
    <row r="68" spans="1:8" ht="15">
      <c r="A68" s="291" t="s">
        <v>210</v>
      </c>
      <c r="B68" s="297" t="s">
        <v>211</v>
      </c>
      <c r="C68" s="205">
        <v>1479</v>
      </c>
      <c r="D68" s="205">
        <v>496</v>
      </c>
      <c r="E68" s="293" t="s">
        <v>212</v>
      </c>
      <c r="F68" s="298" t="s">
        <v>213</v>
      </c>
      <c r="G68" s="206">
        <v>209</v>
      </c>
      <c r="H68" s="206">
        <v>1008</v>
      </c>
    </row>
    <row r="69" spans="1:8" ht="15">
      <c r="A69" s="291" t="s">
        <v>214</v>
      </c>
      <c r="B69" s="297" t="s">
        <v>215</v>
      </c>
      <c r="C69" s="205">
        <v>488</v>
      </c>
      <c r="D69" s="205">
        <v>471</v>
      </c>
      <c r="E69" s="307" t="s">
        <v>77</v>
      </c>
      <c r="F69" s="298" t="s">
        <v>216</v>
      </c>
      <c r="G69" s="206">
        <v>141</v>
      </c>
      <c r="H69" s="206">
        <v>485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53</v>
      </c>
      <c r="D71" s="205">
        <v>524</v>
      </c>
      <c r="E71" s="309" t="s">
        <v>45</v>
      </c>
      <c r="F71" s="329" t="s">
        <v>223</v>
      </c>
      <c r="G71" s="215">
        <f>G59+G60+G61+G69+G70</f>
        <v>27752</v>
      </c>
      <c r="H71" s="215">
        <f>H59+H60+H61+H69+H70</f>
        <v>21809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58</v>
      </c>
      <c r="D72" s="205">
        <v>123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189</v>
      </c>
      <c r="D74" s="205">
        <v>374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2678</v>
      </c>
      <c r="D75" s="209">
        <f>SUM(D67:D74)</f>
        <v>9686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577</v>
      </c>
      <c r="H76" s="206">
        <v>303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28329</v>
      </c>
      <c r="H79" s="216">
        <f>H71+H74+H75+H76</f>
        <v>22112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25</v>
      </c>
      <c r="D87" s="205">
        <v>19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470</v>
      </c>
      <c r="D88" s="205">
        <v>1653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>
        <v>90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495</v>
      </c>
      <c r="D91" s="209">
        <f>SUM(D87:D90)</f>
        <v>1762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5485</v>
      </c>
      <c r="D93" s="209">
        <f>D64+D75+D84+D91+D92</f>
        <v>13413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447517</v>
      </c>
      <c r="D94" s="218">
        <f>D93+D55</f>
        <v>444692</v>
      </c>
      <c r="E94" s="557" t="s">
        <v>269</v>
      </c>
      <c r="F94" s="345" t="s">
        <v>270</v>
      </c>
      <c r="G94" s="219">
        <f>G36+G39+G55+G79</f>
        <v>447517</v>
      </c>
      <c r="H94" s="219">
        <f>H36+H39+H55+H79</f>
        <v>444692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5" t="s">
        <v>817</v>
      </c>
      <c r="D98" s="615"/>
      <c r="E98" s="615"/>
      <c r="F98" s="224"/>
      <c r="G98" s="225"/>
      <c r="H98" s="226"/>
      <c r="M98" s="211"/>
    </row>
    <row r="99" spans="3:8" ht="15">
      <c r="C99" s="78"/>
      <c r="D99" s="1" t="s">
        <v>887</v>
      </c>
      <c r="E99" s="78"/>
      <c r="F99" s="224"/>
      <c r="G99" s="225"/>
      <c r="H99" s="226"/>
    </row>
    <row r="100" spans="1:5" ht="15">
      <c r="A100" s="227"/>
      <c r="B100" s="227"/>
      <c r="C100" s="615" t="s">
        <v>779</v>
      </c>
      <c r="D100" s="616"/>
      <c r="E100" s="616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9" t="s">
        <v>2</v>
      </c>
      <c r="G2" s="619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41639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10785</v>
      </c>
      <c r="D9" s="79">
        <v>8890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13428</v>
      </c>
      <c r="D10" s="79">
        <v>12878</v>
      </c>
      <c r="E10" s="363" t="s">
        <v>285</v>
      </c>
      <c r="F10" s="365" t="s">
        <v>286</v>
      </c>
      <c r="G10" s="87">
        <v>42565</v>
      </c>
      <c r="H10" s="87">
        <v>41309</v>
      </c>
    </row>
    <row r="11" spans="1:8" ht="12">
      <c r="A11" s="363" t="s">
        <v>287</v>
      </c>
      <c r="B11" s="364" t="s">
        <v>288</v>
      </c>
      <c r="C11" s="79">
        <f>11422+29</f>
        <v>11451</v>
      </c>
      <c r="D11" s="79">
        <v>12907</v>
      </c>
      <c r="E11" s="366" t="s">
        <v>289</v>
      </c>
      <c r="F11" s="365" t="s">
        <v>290</v>
      </c>
      <c r="G11" s="87">
        <v>32948</v>
      </c>
      <c r="H11" s="87">
        <v>31617</v>
      </c>
    </row>
    <row r="12" spans="1:8" ht="12">
      <c r="A12" s="363" t="s">
        <v>291</v>
      </c>
      <c r="B12" s="364" t="s">
        <v>292</v>
      </c>
      <c r="C12" s="79">
        <v>12349</v>
      </c>
      <c r="D12" s="79">
        <v>11028</v>
      </c>
      <c r="E12" s="366" t="s">
        <v>77</v>
      </c>
      <c r="F12" s="365" t="s">
        <v>293</v>
      </c>
      <c r="G12" s="87">
        <v>7341</v>
      </c>
      <c r="H12" s="87">
        <v>9464</v>
      </c>
    </row>
    <row r="13" spans="1:18" ht="12">
      <c r="A13" s="363" t="s">
        <v>294</v>
      </c>
      <c r="B13" s="364" t="s">
        <v>295</v>
      </c>
      <c r="C13" s="79">
        <v>2622</v>
      </c>
      <c r="D13" s="79">
        <v>2245</v>
      </c>
      <c r="E13" s="367" t="s">
        <v>50</v>
      </c>
      <c r="F13" s="368" t="s">
        <v>296</v>
      </c>
      <c r="G13" s="88">
        <f>SUM(G9:G12)</f>
        <v>82854</v>
      </c>
      <c r="H13" s="88">
        <f>SUM(H9:H12)</f>
        <v>82390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f>12763-5</f>
        <v>12758</v>
      </c>
      <c r="D14" s="79">
        <v>12417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32</v>
      </c>
      <c r="H15" s="87">
        <v>4</v>
      </c>
    </row>
    <row r="16" spans="1:8" ht="12">
      <c r="A16" s="363" t="s">
        <v>303</v>
      </c>
      <c r="B16" s="364" t="s">
        <v>304</v>
      </c>
      <c r="C16" s="80">
        <f>1978+60</f>
        <v>2038</v>
      </c>
      <c r="D16" s="80">
        <v>2502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65431</v>
      </c>
      <c r="D19" s="82">
        <f>SUM(D9:D15)+D16</f>
        <v>62867</v>
      </c>
      <c r="E19" s="373" t="s">
        <v>313</v>
      </c>
      <c r="F19" s="369" t="s">
        <v>314</v>
      </c>
      <c r="G19" s="87">
        <v>269</v>
      </c>
      <c r="H19" s="87">
        <v>375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177</v>
      </c>
      <c r="H20" s="87">
        <v>324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515</v>
      </c>
      <c r="H21" s="87"/>
    </row>
    <row r="22" spans="1:8" ht="24">
      <c r="A22" s="360" t="s">
        <v>320</v>
      </c>
      <c r="B22" s="375" t="s">
        <v>321</v>
      </c>
      <c r="C22" s="79">
        <v>2167</v>
      </c>
      <c r="D22" s="79">
        <v>1988</v>
      </c>
      <c r="E22" s="373" t="s">
        <v>322</v>
      </c>
      <c r="F22" s="369" t="s">
        <v>323</v>
      </c>
      <c r="G22" s="87">
        <v>420</v>
      </c>
      <c r="H22" s="87">
        <v>506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15</v>
      </c>
      <c r="D24" s="79">
        <v>10</v>
      </c>
      <c r="E24" s="367" t="s">
        <v>102</v>
      </c>
      <c r="F24" s="370" t="s">
        <v>330</v>
      </c>
      <c r="G24" s="88">
        <f>SUM(G19:G23)</f>
        <v>1381</v>
      </c>
      <c r="H24" s="88">
        <f>SUM(H19:H23)</f>
        <v>1205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171</v>
      </c>
      <c r="D25" s="79">
        <v>172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2353</v>
      </c>
      <c r="D26" s="82">
        <f>SUM(D22:D25)</f>
        <v>2170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67784</v>
      </c>
      <c r="D28" s="83">
        <f>D26+D19</f>
        <v>65037</v>
      </c>
      <c r="E28" s="174" t="s">
        <v>335</v>
      </c>
      <c r="F28" s="370" t="s">
        <v>336</v>
      </c>
      <c r="G28" s="88">
        <f>G13+G15+G24</f>
        <v>84267</v>
      </c>
      <c r="H28" s="88">
        <f>H13+H15+H24</f>
        <v>83599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16483</v>
      </c>
      <c r="D30" s="83">
        <f>IF((H28-D28)&gt;0,H28-D28,0)</f>
        <v>18562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67784</v>
      </c>
      <c r="D33" s="82">
        <f>D28+D31+D32</f>
        <v>65037</v>
      </c>
      <c r="E33" s="174" t="s">
        <v>349</v>
      </c>
      <c r="F33" s="370" t="s">
        <v>350</v>
      </c>
      <c r="G33" s="90">
        <f>G32+G31+G28</f>
        <v>84267</v>
      </c>
      <c r="H33" s="90">
        <f>H32+H31+H28</f>
        <v>83599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16483</v>
      </c>
      <c r="D34" s="83">
        <f>IF((H33-D33)&gt;0,H33-D33,0)</f>
        <v>18562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1423</v>
      </c>
      <c r="D35" s="82">
        <f>D36+D37+D38</f>
        <v>1872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1423</v>
      </c>
      <c r="D36" s="79">
        <v>1850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>
        <v>22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15060</v>
      </c>
      <c r="D39" s="569">
        <f>+IF((H33-D33-D35)&gt;0,H33-D33-D35,0)</f>
        <v>16690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15060</v>
      </c>
      <c r="D41" s="85">
        <f>IF(H39=0,IF(D39-D40&gt;0,D39-D40+H40,0),IF(H39-H40&lt;0,H40-H39+D39,0))</f>
        <v>16690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84267</v>
      </c>
      <c r="D42" s="86">
        <f>D33+D35+D39</f>
        <v>83599</v>
      </c>
      <c r="E42" s="177" t="s">
        <v>376</v>
      </c>
      <c r="F42" s="178" t="s">
        <v>377</v>
      </c>
      <c r="G42" s="90">
        <f>G39+G33</f>
        <v>84267</v>
      </c>
      <c r="H42" s="90">
        <f>H39+H33</f>
        <v>83599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7"/>
      <c r="E44" s="617"/>
      <c r="F44" s="617"/>
      <c r="G44" s="617"/>
      <c r="H44" s="617"/>
      <c r="I44" s="176"/>
      <c r="J44" s="176"/>
      <c r="K44" s="176"/>
      <c r="L44" s="176"/>
      <c r="M44" s="176"/>
      <c r="N44" s="176"/>
      <c r="O44" s="176"/>
    </row>
    <row r="45" spans="1:8" ht="15">
      <c r="A45" s="31"/>
      <c r="B45" s="535"/>
      <c r="C45" s="531"/>
      <c r="D45" s="1" t="s">
        <v>887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8"/>
      <c r="E46" s="618"/>
      <c r="F46" s="618"/>
      <c r="G46" s="618"/>
      <c r="H46" s="618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1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6" sqref="C46: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41639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90599</v>
      </c>
      <c r="D10" s="92">
        <v>86054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-36839</v>
      </c>
      <c r="D11" s="92">
        <v>-38430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-14095</v>
      </c>
      <c r="D13" s="92">
        <v>-12384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-2407</v>
      </c>
      <c r="D14" s="92">
        <v>-3943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-2227</v>
      </c>
      <c r="D15" s="92">
        <v>-858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12</v>
      </c>
      <c r="D16" s="92">
        <v>19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-151</v>
      </c>
      <c r="D17" s="92">
        <v>-141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11</v>
      </c>
      <c r="D18" s="92">
        <v>35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-128</v>
      </c>
      <c r="D19" s="92">
        <v>188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34775</v>
      </c>
      <c r="D20" s="93">
        <f>SUM(D10:D19)</f>
        <v>30540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-15478</v>
      </c>
      <c r="D22" s="92">
        <v>-5993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15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-584</v>
      </c>
      <c r="D24" s="92">
        <v>-2903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2769</v>
      </c>
      <c r="D25" s="92">
        <v>58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185</v>
      </c>
      <c r="D26" s="92">
        <v>32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-5985</v>
      </c>
      <c r="D27" s="92">
        <v>-250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133</v>
      </c>
      <c r="D29" s="92">
        <v>179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-18960</v>
      </c>
      <c r="D32" s="93">
        <f>SUM(D22:D31)</f>
        <v>-8862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2949</v>
      </c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-15485</v>
      </c>
      <c r="D37" s="92">
        <v>-17272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-217</v>
      </c>
      <c r="D38" s="92">
        <v>-144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-2108</v>
      </c>
      <c r="D39" s="92">
        <v>-1876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-2526</v>
      </c>
      <c r="D40" s="92">
        <v>-1280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305</v>
      </c>
      <c r="D41" s="92">
        <v>305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-17082</v>
      </c>
      <c r="D42" s="93">
        <f>SUM(D34:D41)</f>
        <v>-20267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-1267</v>
      </c>
      <c r="D43" s="93">
        <f>D42+D32+D20</f>
        <v>1411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1762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495</v>
      </c>
      <c r="D45" s="93">
        <f>D44+D43</f>
        <v>1762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/>
      <c r="D46" s="94">
        <v>1672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>
        <v>90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0"/>
      <c r="D50" s="620"/>
      <c r="G50" s="186"/>
      <c r="H50" s="186"/>
    </row>
    <row r="51" spans="1:8" ht="15">
      <c r="A51" s="546"/>
      <c r="B51" s="1" t="s">
        <v>887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0"/>
      <c r="D52" s="620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3" t="str">
        <f>'справка №1-БАЛАНС'!E3</f>
        <v>" АЛБЕНА"  АД</v>
      </c>
      <c r="D3" s="624"/>
      <c r="E3" s="624"/>
      <c r="F3" s="624"/>
      <c r="G3" s="624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3" t="str">
        <f>'справка №1-БАЛАНС'!E4</f>
        <v>неконсолидиран </v>
      </c>
      <c r="D4" s="623"/>
      <c r="E4" s="625"/>
      <c r="F4" s="623"/>
      <c r="G4" s="623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6">
        <v>41639</v>
      </c>
      <c r="D5" s="624"/>
      <c r="E5" s="624"/>
      <c r="F5" s="624"/>
      <c r="G5" s="624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80147</v>
      </c>
      <c r="F11" s="96">
        <f>'справка №1-БАЛАНС'!H22</f>
        <v>427</v>
      </c>
      <c r="G11" s="96">
        <f>'справка №1-БАЛАНС'!H23</f>
        <v>0</v>
      </c>
      <c r="H11" s="98">
        <v>205265</v>
      </c>
      <c r="I11" s="96">
        <f>'справка №1-БАЛАНС'!H28+'справка №1-БАЛАНС'!H31</f>
        <v>62430</v>
      </c>
      <c r="J11" s="96">
        <f>'справка №1-БАЛАНС'!H29+'справка №1-БАЛАНС'!H32</f>
        <v>0</v>
      </c>
      <c r="K11" s="98"/>
      <c r="L11" s="424">
        <f>SUM(C11:K11)</f>
        <v>351006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80147</v>
      </c>
      <c r="F15" s="99">
        <f t="shared" si="2"/>
        <v>427</v>
      </c>
      <c r="G15" s="99">
        <f t="shared" si="2"/>
        <v>0</v>
      </c>
      <c r="H15" s="99">
        <f t="shared" si="2"/>
        <v>205265</v>
      </c>
      <c r="I15" s="99">
        <f t="shared" si="2"/>
        <v>62430</v>
      </c>
      <c r="J15" s="99">
        <f t="shared" si="2"/>
        <v>0</v>
      </c>
      <c r="K15" s="99">
        <f t="shared" si="2"/>
        <v>0</v>
      </c>
      <c r="L15" s="424">
        <f t="shared" si="1"/>
        <v>351006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15060</v>
      </c>
      <c r="J16" s="425">
        <f>+'справка №1-БАЛАНС'!G32</f>
        <v>0</v>
      </c>
      <c r="K16" s="98"/>
      <c r="L16" s="424">
        <f t="shared" si="1"/>
        <v>15060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-3109</v>
      </c>
      <c r="J17" s="100">
        <f>J18+J19</f>
        <v>0</v>
      </c>
      <c r="K17" s="100">
        <f t="shared" si="3"/>
        <v>0</v>
      </c>
      <c r="L17" s="424">
        <f t="shared" si="1"/>
        <v>-3109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-3109</v>
      </c>
      <c r="J18" s="98"/>
      <c r="K18" s="98"/>
      <c r="L18" s="424">
        <f t="shared" si="1"/>
        <v>-3109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>
        <v>-1068</v>
      </c>
      <c r="I28" s="98"/>
      <c r="J28" s="98"/>
      <c r="K28" s="98"/>
      <c r="L28" s="424">
        <f t="shared" si="1"/>
        <v>-1068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80147</v>
      </c>
      <c r="F29" s="97">
        <f t="shared" si="6"/>
        <v>427</v>
      </c>
      <c r="G29" s="97">
        <f t="shared" si="6"/>
        <v>0</v>
      </c>
      <c r="H29" s="97">
        <f t="shared" si="6"/>
        <v>204197</v>
      </c>
      <c r="I29" s="97">
        <f t="shared" si="6"/>
        <v>74381</v>
      </c>
      <c r="J29" s="97">
        <f t="shared" si="6"/>
        <v>0</v>
      </c>
      <c r="K29" s="97">
        <f t="shared" si="6"/>
        <v>0</v>
      </c>
      <c r="L29" s="424">
        <f t="shared" si="1"/>
        <v>361889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80147</v>
      </c>
      <c r="F32" s="97">
        <f t="shared" si="7"/>
        <v>427</v>
      </c>
      <c r="G32" s="97">
        <f t="shared" si="7"/>
        <v>0</v>
      </c>
      <c r="H32" s="97">
        <f t="shared" si="7"/>
        <v>204197</v>
      </c>
      <c r="I32" s="97">
        <f t="shared" si="7"/>
        <v>74381</v>
      </c>
      <c r="J32" s="97">
        <f t="shared" si="7"/>
        <v>0</v>
      </c>
      <c r="K32" s="97">
        <f t="shared" si="7"/>
        <v>0</v>
      </c>
      <c r="L32" s="424">
        <f t="shared" si="1"/>
        <v>361889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892</v>
      </c>
      <c r="B35" s="37"/>
      <c r="C35" s="24"/>
      <c r="D35" s="622" t="s">
        <v>519</v>
      </c>
      <c r="E35" s="622"/>
      <c r="F35" s="622"/>
      <c r="G35" s="622"/>
      <c r="H35" s="622"/>
      <c r="I35" s="622"/>
      <c r="J35" s="24" t="s">
        <v>853</v>
      </c>
      <c r="K35" s="24"/>
      <c r="L35" s="622"/>
      <c r="M35" s="622"/>
      <c r="N35" s="19"/>
    </row>
    <row r="36" spans="1:13" ht="15">
      <c r="A36" s="430"/>
      <c r="B36" s="431"/>
      <c r="C36" s="432"/>
      <c r="D36" s="432"/>
      <c r="E36" s="1" t="s">
        <v>887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I19" sqref="I1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8" t="s">
        <v>381</v>
      </c>
      <c r="B2" s="609"/>
      <c r="C2" s="584"/>
      <c r="D2" s="584"/>
      <c r="E2" s="623" t="str">
        <f>'справка №1-БАЛАНС'!E3</f>
        <v>" АЛБЕНА"  АД</v>
      </c>
      <c r="F2" s="639"/>
      <c r="G2" s="639"/>
      <c r="H2" s="584"/>
      <c r="I2" s="441"/>
      <c r="J2" s="441"/>
      <c r="K2" s="441"/>
      <c r="L2" s="441"/>
      <c r="M2" s="612" t="s">
        <v>2</v>
      </c>
      <c r="N2" s="636"/>
      <c r="O2" s="636"/>
      <c r="P2" s="613">
        <f>'справка №1-БАЛАНС'!H3</f>
        <v>834025872</v>
      </c>
      <c r="Q2" s="613"/>
      <c r="R2" s="353"/>
    </row>
    <row r="3" spans="1:18" ht="15">
      <c r="A3" s="638" t="s">
        <v>4</v>
      </c>
      <c r="B3" s="609"/>
      <c r="C3" s="585"/>
      <c r="D3" s="585"/>
      <c r="E3" s="626">
        <v>41639</v>
      </c>
      <c r="F3" s="640"/>
      <c r="G3" s="640"/>
      <c r="H3" s="443"/>
      <c r="I3" s="443"/>
      <c r="J3" s="443"/>
      <c r="K3" s="443"/>
      <c r="L3" s="443"/>
      <c r="M3" s="614" t="s">
        <v>3</v>
      </c>
      <c r="N3" s="614"/>
      <c r="O3" s="576"/>
      <c r="P3" s="637">
        <f>'справка №1-БАЛАНС'!H4</f>
        <v>462</v>
      </c>
      <c r="Q3" s="637"/>
      <c r="R3" s="354"/>
    </row>
    <row r="4" spans="1:18" ht="12.75">
      <c r="A4" s="436" t="s">
        <v>521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9" t="s">
        <v>461</v>
      </c>
      <c r="B5" s="630"/>
      <c r="C5" s="633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10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10" t="s">
        <v>527</v>
      </c>
      <c r="R5" s="610" t="s">
        <v>528</v>
      </c>
    </row>
    <row r="6" spans="1:18" s="44" customFormat="1" ht="48">
      <c r="A6" s="631"/>
      <c r="B6" s="632"/>
      <c r="C6" s="634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11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11"/>
      <c r="R6" s="611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41467</v>
      </c>
      <c r="E9" s="243">
        <v>59</v>
      </c>
      <c r="F9" s="243">
        <v>12492</v>
      </c>
      <c r="G9" s="113">
        <f>D9+E9-F9</f>
        <v>29034</v>
      </c>
      <c r="H9" s="103"/>
      <c r="I9" s="103"/>
      <c r="J9" s="113">
        <f>G9+H9-I9</f>
        <v>29034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29034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270740</v>
      </c>
      <c r="E10" s="243">
        <v>4262</v>
      </c>
      <c r="F10" s="243">
        <v>53</v>
      </c>
      <c r="G10" s="113">
        <f aca="true" t="shared" si="2" ref="G10:G39">D10+E10-F10</f>
        <v>274949</v>
      </c>
      <c r="H10" s="103"/>
      <c r="I10" s="103"/>
      <c r="J10" s="113">
        <f aca="true" t="shared" si="3" ref="J10:J39">G10+H10-I10</f>
        <v>274949</v>
      </c>
      <c r="K10" s="103">
        <v>18569</v>
      </c>
      <c r="L10" s="103">
        <v>5967</v>
      </c>
      <c r="M10" s="103">
        <v>8</v>
      </c>
      <c r="N10" s="113">
        <f aca="true" t="shared" si="4" ref="N10:N39">K10+L10-M10</f>
        <v>24528</v>
      </c>
      <c r="O10" s="103"/>
      <c r="P10" s="103"/>
      <c r="Q10" s="113">
        <f t="shared" si="0"/>
        <v>24528</v>
      </c>
      <c r="R10" s="113">
        <f t="shared" si="1"/>
        <v>250421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27872</v>
      </c>
      <c r="E11" s="243">
        <v>869</v>
      </c>
      <c r="F11" s="243">
        <v>750</v>
      </c>
      <c r="G11" s="113">
        <f t="shared" si="2"/>
        <v>27991</v>
      </c>
      <c r="H11" s="103"/>
      <c r="I11" s="103"/>
      <c r="J11" s="113">
        <f t="shared" si="3"/>
        <v>27991</v>
      </c>
      <c r="K11" s="103">
        <v>24972</v>
      </c>
      <c r="L11" s="103">
        <v>1287</v>
      </c>
      <c r="M11" s="103">
        <v>679</v>
      </c>
      <c r="N11" s="113">
        <f t="shared" si="4"/>
        <v>25580</v>
      </c>
      <c r="O11" s="103"/>
      <c r="P11" s="103"/>
      <c r="Q11" s="113">
        <f t="shared" si="0"/>
        <v>25580</v>
      </c>
      <c r="R11" s="113">
        <f t="shared" si="1"/>
        <v>2411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47648</v>
      </c>
      <c r="E12" s="243">
        <v>1382</v>
      </c>
      <c r="F12" s="243">
        <v>115</v>
      </c>
      <c r="G12" s="113">
        <f t="shared" si="2"/>
        <v>48915</v>
      </c>
      <c r="H12" s="103"/>
      <c r="I12" s="103"/>
      <c r="J12" s="113">
        <f t="shared" si="3"/>
        <v>48915</v>
      </c>
      <c r="K12" s="103">
        <v>25189</v>
      </c>
      <c r="L12" s="103">
        <v>2119</v>
      </c>
      <c r="M12" s="103">
        <v>63</v>
      </c>
      <c r="N12" s="113">
        <f t="shared" si="4"/>
        <v>27245</v>
      </c>
      <c r="O12" s="103"/>
      <c r="P12" s="103"/>
      <c r="Q12" s="113">
        <f t="shared" si="0"/>
        <v>27245</v>
      </c>
      <c r="R12" s="113">
        <f t="shared" si="1"/>
        <v>21670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3208</v>
      </c>
      <c r="E13" s="243">
        <v>298</v>
      </c>
      <c r="F13" s="243">
        <v>10</v>
      </c>
      <c r="G13" s="113">
        <f t="shared" si="2"/>
        <v>3496</v>
      </c>
      <c r="H13" s="103"/>
      <c r="I13" s="103"/>
      <c r="J13" s="113">
        <f t="shared" si="3"/>
        <v>3496</v>
      </c>
      <c r="K13" s="103">
        <v>2301</v>
      </c>
      <c r="L13" s="103">
        <v>273</v>
      </c>
      <c r="M13" s="103">
        <v>10</v>
      </c>
      <c r="N13" s="113">
        <f t="shared" si="4"/>
        <v>2564</v>
      </c>
      <c r="O13" s="103"/>
      <c r="P13" s="103"/>
      <c r="Q13" s="113">
        <f t="shared" si="0"/>
        <v>2564</v>
      </c>
      <c r="R13" s="113">
        <f t="shared" si="1"/>
        <v>932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27361</v>
      </c>
      <c r="E14" s="243">
        <v>1356</v>
      </c>
      <c r="F14" s="243">
        <v>646</v>
      </c>
      <c r="G14" s="113">
        <f t="shared" si="2"/>
        <v>28071</v>
      </c>
      <c r="H14" s="103"/>
      <c r="I14" s="103"/>
      <c r="J14" s="113">
        <f t="shared" si="3"/>
        <v>28071</v>
      </c>
      <c r="K14" s="103">
        <v>25379</v>
      </c>
      <c r="L14" s="103">
        <v>1597</v>
      </c>
      <c r="M14" s="103">
        <v>646</v>
      </c>
      <c r="N14" s="113">
        <f t="shared" si="4"/>
        <v>26330</v>
      </c>
      <c r="O14" s="103"/>
      <c r="P14" s="103"/>
      <c r="Q14" s="113">
        <f t="shared" si="0"/>
        <v>26330</v>
      </c>
      <c r="R14" s="113">
        <f t="shared" si="1"/>
        <v>1741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4247</v>
      </c>
      <c r="E15" s="564">
        <v>11330</v>
      </c>
      <c r="F15" s="564">
        <v>10322</v>
      </c>
      <c r="G15" s="113">
        <f t="shared" si="2"/>
        <v>5255</v>
      </c>
      <c r="H15" s="565"/>
      <c r="I15" s="565"/>
      <c r="J15" s="113">
        <f t="shared" si="3"/>
        <v>5255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5255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422543</v>
      </c>
      <c r="E17" s="248">
        <f>SUM(E9:E16)</f>
        <v>19556</v>
      </c>
      <c r="F17" s="248">
        <f>SUM(F9:F16)</f>
        <v>24388</v>
      </c>
      <c r="G17" s="113">
        <f t="shared" si="2"/>
        <v>417711</v>
      </c>
      <c r="H17" s="114">
        <f>SUM(H9:H16)</f>
        <v>0</v>
      </c>
      <c r="I17" s="114">
        <f>SUM(I9:I16)</f>
        <v>0</v>
      </c>
      <c r="J17" s="113">
        <f t="shared" si="3"/>
        <v>417711</v>
      </c>
      <c r="K17" s="114">
        <f>SUM(K9:K16)</f>
        <v>96410</v>
      </c>
      <c r="L17" s="114">
        <f>SUM(L9:L16)</f>
        <v>11243</v>
      </c>
      <c r="M17" s="114">
        <f>SUM(M9:M16)</f>
        <v>1406</v>
      </c>
      <c r="N17" s="113">
        <f t="shared" si="4"/>
        <v>106247</v>
      </c>
      <c r="O17" s="114">
        <f>SUM(O9:O16)</f>
        <v>0</v>
      </c>
      <c r="P17" s="114">
        <f>SUM(P9:P16)</f>
        <v>0</v>
      </c>
      <c r="Q17" s="113">
        <f t="shared" si="5"/>
        <v>106247</v>
      </c>
      <c r="R17" s="113">
        <f t="shared" si="6"/>
        <v>311464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13236</v>
      </c>
      <c r="E18" s="241">
        <v>13579</v>
      </c>
      <c r="F18" s="241">
        <v>3257</v>
      </c>
      <c r="G18" s="113">
        <f t="shared" si="2"/>
        <v>23558</v>
      </c>
      <c r="H18" s="101">
        <v>120</v>
      </c>
      <c r="I18" s="101">
        <v>240</v>
      </c>
      <c r="J18" s="113">
        <f t="shared" si="3"/>
        <v>23438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23438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/>
      <c r="F21" s="243"/>
      <c r="G21" s="113">
        <f t="shared" si="2"/>
        <v>105</v>
      </c>
      <c r="H21" s="103"/>
      <c r="I21" s="103"/>
      <c r="J21" s="113">
        <f t="shared" si="3"/>
        <v>105</v>
      </c>
      <c r="K21" s="103">
        <v>105</v>
      </c>
      <c r="L21" s="103"/>
      <c r="M21" s="103"/>
      <c r="N21" s="113">
        <f t="shared" si="4"/>
        <v>105</v>
      </c>
      <c r="O21" s="103"/>
      <c r="P21" s="103"/>
      <c r="Q21" s="113">
        <f t="shared" si="5"/>
        <v>105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1595</v>
      </c>
      <c r="E22" s="243">
        <v>437</v>
      </c>
      <c r="F22" s="243">
        <v>19</v>
      </c>
      <c r="G22" s="113">
        <f t="shared" si="2"/>
        <v>2013</v>
      </c>
      <c r="H22" s="103"/>
      <c r="I22" s="103"/>
      <c r="J22" s="113">
        <f t="shared" si="3"/>
        <v>2013</v>
      </c>
      <c r="K22" s="103">
        <v>1446</v>
      </c>
      <c r="L22" s="103">
        <v>70</v>
      </c>
      <c r="M22" s="103">
        <v>19</v>
      </c>
      <c r="N22" s="113">
        <f t="shared" si="4"/>
        <v>1497</v>
      </c>
      <c r="O22" s="103"/>
      <c r="P22" s="103"/>
      <c r="Q22" s="113">
        <f t="shared" si="5"/>
        <v>1497</v>
      </c>
      <c r="R22" s="113">
        <f t="shared" si="6"/>
        <v>516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1921</v>
      </c>
      <c r="E24" s="243">
        <v>581</v>
      </c>
      <c r="F24" s="243"/>
      <c r="G24" s="113">
        <f t="shared" si="2"/>
        <v>2502</v>
      </c>
      <c r="H24" s="103"/>
      <c r="I24" s="103"/>
      <c r="J24" s="113">
        <f t="shared" si="3"/>
        <v>2502</v>
      </c>
      <c r="K24" s="103">
        <v>963</v>
      </c>
      <c r="L24" s="103">
        <v>138</v>
      </c>
      <c r="M24" s="103"/>
      <c r="N24" s="113">
        <f t="shared" si="4"/>
        <v>1101</v>
      </c>
      <c r="O24" s="103"/>
      <c r="P24" s="103"/>
      <c r="Q24" s="113">
        <f t="shared" si="5"/>
        <v>1101</v>
      </c>
      <c r="R24" s="113">
        <f t="shared" si="6"/>
        <v>1401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3621</v>
      </c>
      <c r="E25" s="244">
        <f aca="true" t="shared" si="7" ref="E25:P25">SUM(E21:E24)</f>
        <v>1018</v>
      </c>
      <c r="F25" s="244">
        <f t="shared" si="7"/>
        <v>19</v>
      </c>
      <c r="G25" s="105">
        <f t="shared" si="2"/>
        <v>4620</v>
      </c>
      <c r="H25" s="104">
        <f t="shared" si="7"/>
        <v>0</v>
      </c>
      <c r="I25" s="104">
        <f t="shared" si="7"/>
        <v>0</v>
      </c>
      <c r="J25" s="105">
        <f t="shared" si="3"/>
        <v>4620</v>
      </c>
      <c r="K25" s="104">
        <f t="shared" si="7"/>
        <v>2514</v>
      </c>
      <c r="L25" s="104">
        <f t="shared" si="7"/>
        <v>208</v>
      </c>
      <c r="M25" s="104">
        <f t="shared" si="7"/>
        <v>19</v>
      </c>
      <c r="N25" s="105">
        <f t="shared" si="4"/>
        <v>2703</v>
      </c>
      <c r="O25" s="104">
        <f t="shared" si="7"/>
        <v>0</v>
      </c>
      <c r="P25" s="104">
        <f t="shared" si="7"/>
        <v>0</v>
      </c>
      <c r="Q25" s="105">
        <f t="shared" si="5"/>
        <v>2703</v>
      </c>
      <c r="R25" s="105">
        <f t="shared" si="6"/>
        <v>1917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82321</v>
      </c>
      <c r="E27" s="246">
        <f aca="true" t="shared" si="8" ref="E27:P27">SUM(E28:E31)</f>
        <v>19926</v>
      </c>
      <c r="F27" s="246">
        <f t="shared" si="8"/>
        <v>0</v>
      </c>
      <c r="G27" s="110">
        <f t="shared" si="2"/>
        <v>102247</v>
      </c>
      <c r="H27" s="109">
        <f t="shared" si="8"/>
        <v>0</v>
      </c>
      <c r="I27" s="109">
        <f t="shared" si="8"/>
        <v>0</v>
      </c>
      <c r="J27" s="110">
        <f t="shared" si="3"/>
        <v>102247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102247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80200</v>
      </c>
      <c r="E28" s="243">
        <v>19926</v>
      </c>
      <c r="F28" s="243"/>
      <c r="G28" s="113">
        <f t="shared" si="2"/>
        <v>100126</v>
      </c>
      <c r="H28" s="103"/>
      <c r="I28" s="103"/>
      <c r="J28" s="113">
        <f t="shared" si="3"/>
        <v>100126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100126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82321</v>
      </c>
      <c r="E38" s="248">
        <f aca="true" t="shared" si="12" ref="E38:P38">E27+E32+E37</f>
        <v>19926</v>
      </c>
      <c r="F38" s="248">
        <f t="shared" si="12"/>
        <v>0</v>
      </c>
      <c r="G38" s="113">
        <f t="shared" si="2"/>
        <v>102247</v>
      </c>
      <c r="H38" s="114">
        <f t="shared" si="12"/>
        <v>0</v>
      </c>
      <c r="I38" s="114">
        <f t="shared" si="12"/>
        <v>0</v>
      </c>
      <c r="J38" s="113">
        <f t="shared" si="3"/>
        <v>102247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102247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521721</v>
      </c>
      <c r="E40" s="547">
        <f>E17+E18+E19+E25+E38+E39</f>
        <v>54079</v>
      </c>
      <c r="F40" s="547">
        <f aca="true" t="shared" si="13" ref="F40:R40">F17+F18+F19+F25+F38+F39</f>
        <v>27664</v>
      </c>
      <c r="G40" s="547">
        <f t="shared" si="13"/>
        <v>548136</v>
      </c>
      <c r="H40" s="547">
        <f t="shared" si="13"/>
        <v>120</v>
      </c>
      <c r="I40" s="547">
        <f t="shared" si="13"/>
        <v>240</v>
      </c>
      <c r="J40" s="547">
        <f t="shared" si="13"/>
        <v>548016</v>
      </c>
      <c r="K40" s="547">
        <f t="shared" si="13"/>
        <v>98924</v>
      </c>
      <c r="L40" s="547">
        <f t="shared" si="13"/>
        <v>11451</v>
      </c>
      <c r="M40" s="547">
        <f t="shared" si="13"/>
        <v>1425</v>
      </c>
      <c r="N40" s="547">
        <f t="shared" si="13"/>
        <v>108950</v>
      </c>
      <c r="O40" s="547">
        <f t="shared" si="13"/>
        <v>0</v>
      </c>
      <c r="P40" s="547">
        <f t="shared" si="13"/>
        <v>0</v>
      </c>
      <c r="Q40" s="547">
        <f t="shared" si="13"/>
        <v>108950</v>
      </c>
      <c r="R40" s="547">
        <f t="shared" si="13"/>
        <v>439066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893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5"/>
      <c r="L44" s="635"/>
      <c r="M44" s="635"/>
      <c r="N44" s="635"/>
      <c r="O44" s="636" t="s">
        <v>779</v>
      </c>
      <c r="P44" s="609"/>
      <c r="Q44" s="609"/>
      <c r="R44" s="609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887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4" t="s">
        <v>607</v>
      </c>
      <c r="B1" s="644"/>
      <c r="C1" s="644"/>
      <c r="D1" s="644"/>
      <c r="E1" s="64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5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5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6" t="str">
        <f>"Отчетен период:"&amp;"           "&amp;'справка №1-БАЛАНС'!E5</f>
        <v>Отчетен период:           41639</v>
      </c>
      <c r="B4" s="646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7902</v>
      </c>
      <c r="D11" s="165">
        <f>SUM(D12:D14)</f>
        <v>0</v>
      </c>
      <c r="E11" s="166">
        <f>SUM(E12:E14)</f>
        <v>7902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7902</v>
      </c>
      <c r="D12" s="153"/>
      <c r="E12" s="166">
        <f aca="true" t="shared" si="0" ref="E12:E42">C12-D12</f>
        <v>7902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2060</v>
      </c>
      <c r="D16" s="165">
        <f>+D17+D18</f>
        <v>0</v>
      </c>
      <c r="E16" s="166">
        <f t="shared" si="0"/>
        <v>2060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2060</v>
      </c>
      <c r="D18" s="153"/>
      <c r="E18" s="166">
        <f t="shared" si="0"/>
        <v>2060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9962</v>
      </c>
      <c r="D19" s="149">
        <f>D11+D15+D16</f>
        <v>0</v>
      </c>
      <c r="E19" s="164">
        <f>E11+E15+E16</f>
        <v>9962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6256</v>
      </c>
      <c r="D24" s="165">
        <f>SUM(D25:D27)</f>
        <v>6256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2062</v>
      </c>
      <c r="D25" s="153">
        <v>2062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3394</v>
      </c>
      <c r="D26" s="153">
        <v>3394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800</v>
      </c>
      <c r="D27" s="153">
        <v>800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4348</v>
      </c>
      <c r="D28" s="153">
        <v>4348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284</v>
      </c>
      <c r="D29" s="153">
        <v>284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650</v>
      </c>
      <c r="D31" s="153">
        <v>650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46</v>
      </c>
      <c r="D33" s="150">
        <f>SUM(D34:D37)</f>
        <v>46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46</v>
      </c>
      <c r="D35" s="153">
        <v>46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273</v>
      </c>
      <c r="D38" s="150">
        <f>SUM(D39:D42)</f>
        <v>273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273</v>
      </c>
      <c r="D42" s="153">
        <v>273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11857</v>
      </c>
      <c r="D43" s="149">
        <f>D24+D28+D29+D31+D30+D32+D33+D38</f>
        <v>11857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21819</v>
      </c>
      <c r="D44" s="148">
        <f>D43+D21+D19+D9</f>
        <v>11857</v>
      </c>
      <c r="E44" s="164">
        <f>E43+E21+E19+E9</f>
        <v>9962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8202</v>
      </c>
      <c r="D52" s="148">
        <f>SUM(D53:D55)</f>
        <v>0</v>
      </c>
      <c r="E52" s="165">
        <f>C52-D52</f>
        <v>8202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8202</v>
      </c>
      <c r="D53" s="153"/>
      <c r="E53" s="165">
        <f>C53-D53</f>
        <v>8202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48878</v>
      </c>
      <c r="D56" s="148">
        <f>D57+D59</f>
        <v>0</v>
      </c>
      <c r="E56" s="165">
        <f t="shared" si="1"/>
        <v>48878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48878</v>
      </c>
      <c r="D57" s="153"/>
      <c r="E57" s="165">
        <f t="shared" si="1"/>
        <v>48878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333</v>
      </c>
      <c r="D64" s="153"/>
      <c r="E64" s="165">
        <f t="shared" si="1"/>
        <v>333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57413</v>
      </c>
      <c r="D66" s="148">
        <f>D52+D56+D61+D62+D63+D64</f>
        <v>0</v>
      </c>
      <c r="E66" s="165">
        <f t="shared" si="1"/>
        <v>57413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14184</v>
      </c>
      <c r="D68" s="153"/>
      <c r="E68" s="165">
        <f t="shared" si="1"/>
        <v>14184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3257</v>
      </c>
      <c r="D71" s="150">
        <f>SUM(D72:D74)</f>
        <v>3257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1518</v>
      </c>
      <c r="D72" s="153">
        <v>1518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1718</v>
      </c>
      <c r="D73" s="153">
        <v>1718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21</v>
      </c>
      <c r="D74" s="153">
        <v>21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1317</v>
      </c>
      <c r="D75" s="148">
        <f>D76+D78</f>
        <v>1317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1317</v>
      </c>
      <c r="D76" s="153">
        <v>1317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38</v>
      </c>
      <c r="D80" s="148">
        <f>SUM(D81:D84)</f>
        <v>38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38</v>
      </c>
      <c r="D84" s="153">
        <v>38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10424</v>
      </c>
      <c r="D85" s="149">
        <f>SUM(D86:D90)+D94</f>
        <v>10424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6022</v>
      </c>
      <c r="D87" s="153">
        <v>6022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2136</v>
      </c>
      <c r="D88" s="153">
        <v>2136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1468</v>
      </c>
      <c r="D89" s="153">
        <v>1468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283</v>
      </c>
      <c r="D90" s="148">
        <f>SUM(D91:D93)</f>
        <v>283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283</v>
      </c>
      <c r="D93" s="153">
        <v>283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515</v>
      </c>
      <c r="D94" s="153">
        <v>515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822</v>
      </c>
      <c r="D95" s="153">
        <v>822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15858</v>
      </c>
      <c r="D96" s="149">
        <f>D85+D80+D75+D71+D95</f>
        <v>15858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87455</v>
      </c>
      <c r="D97" s="149">
        <f>D96+D68+D66</f>
        <v>15858</v>
      </c>
      <c r="E97" s="149">
        <f>E96+E68+E66</f>
        <v>71597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3" t="s">
        <v>778</v>
      </c>
      <c r="B107" s="643"/>
      <c r="C107" s="643"/>
      <c r="D107" s="643"/>
      <c r="E107" s="643"/>
      <c r="F107" s="64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2" t="s">
        <v>889</v>
      </c>
      <c r="B109" s="642"/>
      <c r="C109" s="642" t="s">
        <v>379</v>
      </c>
      <c r="D109" s="642"/>
      <c r="E109" s="642"/>
      <c r="F109" s="6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5">
      <c r="A110" s="477"/>
      <c r="B110" s="478"/>
      <c r="C110" s="477"/>
      <c r="D110" s="1" t="s">
        <v>887</v>
      </c>
      <c r="E110" s="477"/>
      <c r="F110" s="479"/>
    </row>
    <row r="111" spans="1:6" ht="12">
      <c r="A111" s="477"/>
      <c r="B111" s="478"/>
      <c r="C111" s="641" t="s">
        <v>779</v>
      </c>
      <c r="D111" s="641"/>
      <c r="E111" s="641"/>
      <c r="F111" s="641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3" t="str">
        <f>'справка №1-БАЛАНС'!E3</f>
        <v>" АЛБЕНА"  АД</v>
      </c>
      <c r="D4" s="640"/>
      <c r="E4" s="640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3">
        <f>'справка №1-БАЛАНС'!E5</f>
        <v>41639</v>
      </c>
      <c r="D5" s="649"/>
      <c r="E5" s="649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24153679</v>
      </c>
      <c r="D12" s="141"/>
      <c r="E12" s="141"/>
      <c r="F12" s="141">
        <v>91048</v>
      </c>
      <c r="G12" s="141"/>
      <c r="H12" s="141"/>
      <c r="I12" s="541">
        <f>F12+G12-H12</f>
        <v>91048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24153679</v>
      </c>
      <c r="D17" s="127">
        <f t="shared" si="1"/>
        <v>0</v>
      </c>
      <c r="E17" s="127">
        <f t="shared" si="1"/>
        <v>0</v>
      </c>
      <c r="F17" s="127">
        <f t="shared" si="1"/>
        <v>91048</v>
      </c>
      <c r="G17" s="127">
        <f t="shared" si="1"/>
        <v>0</v>
      </c>
      <c r="H17" s="127">
        <f t="shared" si="1"/>
        <v>0</v>
      </c>
      <c r="I17" s="541">
        <f t="shared" si="0"/>
        <v>91048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888</v>
      </c>
      <c r="B30" s="648"/>
      <c r="C30" s="648"/>
      <c r="D30" s="567" t="s">
        <v>379</v>
      </c>
      <c r="E30" s="647"/>
      <c r="F30" s="647"/>
      <c r="G30" s="647"/>
      <c r="H30" s="519" t="s">
        <v>779</v>
      </c>
      <c r="I30" s="647"/>
      <c r="J30" s="647"/>
    </row>
    <row r="31" spans="1:9" s="115" customFormat="1" ht="15">
      <c r="A31" s="437"/>
      <c r="B31" s="520"/>
      <c r="C31" s="437"/>
      <c r="D31" s="510"/>
      <c r="E31" s="1" t="s">
        <v>887</v>
      </c>
      <c r="F31" s="510"/>
      <c r="G31" s="510"/>
      <c r="H31" s="510"/>
      <c r="I31" s="608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D14" sqref="D1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3" t="str">
        <f>'справка №1-БАЛАНС'!E3</f>
        <v>" АЛБЕНА"  АД</v>
      </c>
      <c r="C5" s="639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3">
        <f>'справка №1-БАЛАНС'!E5</f>
        <v>41639</v>
      </c>
      <c r="C6" s="649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51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5310</v>
      </c>
      <c r="D14" s="598">
        <v>99.99</v>
      </c>
      <c r="E14" s="549"/>
      <c r="F14" s="551">
        <f>C14-E14</f>
        <v>5310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f aca="true" t="shared" si="0" ref="F15:F20">C14-E14</f>
        <v>5310</v>
      </c>
    </row>
    <row r="16" spans="1:6" ht="12.75">
      <c r="A16" s="66" t="s">
        <v>884</v>
      </c>
      <c r="B16" s="67"/>
      <c r="C16" s="549">
        <v>1100</v>
      </c>
      <c r="D16" s="598">
        <v>100</v>
      </c>
      <c r="E16" s="549"/>
      <c r="F16" s="551">
        <f t="shared" si="0"/>
        <v>4114</v>
      </c>
    </row>
    <row r="17" spans="1:6" ht="25.5">
      <c r="A17" s="66" t="s">
        <v>885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877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879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886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85142.17</v>
      </c>
      <c r="D23" s="536"/>
      <c r="E23" s="536">
        <f>SUM(E11:E22)</f>
        <v>55079</v>
      </c>
      <c r="F23" s="550">
        <f>SUM(F11:F22)</f>
        <v>35373.17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606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880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881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882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883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87263.11</v>
      </c>
      <c r="D73" s="536"/>
      <c r="E73" s="536">
        <f>E72+E55+E38+E23</f>
        <v>55079</v>
      </c>
      <c r="F73" s="550">
        <f>F72+F55+F38+F23</f>
        <v>36477.11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864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866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888</v>
      </c>
      <c r="B145" s="560"/>
      <c r="C145" s="650" t="s">
        <v>845</v>
      </c>
      <c r="D145" s="650"/>
      <c r="E145" s="650"/>
      <c r="F145" s="650"/>
    </row>
    <row r="146" spans="1:6" ht="15">
      <c r="A146" s="75" t="s">
        <v>873</v>
      </c>
      <c r="B146" s="76"/>
      <c r="C146" s="1" t="s">
        <v>887</v>
      </c>
      <c r="D146" s="75"/>
      <c r="E146" s="75"/>
      <c r="F146" s="75"/>
    </row>
    <row r="147" spans="1:6" ht="12.75">
      <c r="A147" s="75"/>
      <c r="B147" s="76"/>
      <c r="C147" s="650" t="s">
        <v>852</v>
      </c>
      <c r="D147" s="650"/>
      <c r="E147" s="650"/>
      <c r="F147" s="650"/>
    </row>
    <row r="148" spans="3:5" ht="15">
      <c r="C148" s="607" t="s">
        <v>865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58:F71 C76:F90 C93:F107 C110:F12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2014-01-28T14:31:49Z</cp:lastPrinted>
  <dcterms:created xsi:type="dcterms:W3CDTF">2000-06-29T12:02:40Z</dcterms:created>
  <dcterms:modified xsi:type="dcterms:W3CDTF">2014-01-29T11:58:16Z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