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<sst xmlns="http://schemas.openxmlformats.org/spreadsheetml/2006/main" count="1057" uniqueCount="871">
  <si>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</si>
  <si>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</si>
  <si>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</si>
  <si>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</si>
  <si>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</si>
  <si>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</si>
  <si>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</si>
  <si>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</si>
  <si>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</si>
  <si>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</si>
  <si>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</si>
  <si>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</si>
  <si>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</si>
  <si>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</si>
  <si>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</si>
  <si>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</si>
  <si>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</si>
  <si>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</si>
  <si>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</si>
  <si>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</si>
  <si>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</si>
  <si>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</si>
  <si>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</si>
  <si>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</si>
  <si>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</si>
  <si>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</si>
  <si>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</si>
  <si>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</si>
  <si>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</si>
  <si>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</si>
  <si>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</si>
  <si>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</si>
  <si>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</si>
  <si>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</si>
  <si>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</si>
  <si>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</si>
  <si>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</si>
  <si>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</si>
  <si>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</si>
  <si>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</si>
  <si>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</si>
  <si>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</si>
  <si>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</si>
  <si>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</si>
  <si>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</si>
  <si>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</si>
  <si>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</si>
  <si>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</si>
  <si>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</si>
  <si>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</si>
  <si>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</si>
  <si>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</si>
  <si>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</si>
  <si>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</si>
  <si>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</si>
  <si>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</si>
  <si>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</si>
  <si>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</si>
  <si>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</si>
  <si>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</si>
  <si>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</si>
  <si>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</si>
  <si>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</si>
  <si>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</si>
  <si>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</si>
  <si>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</si>
  <si>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</si>
  <si>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</si>
  <si>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</si>
  <si>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</si>
  <si>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</si>
  <si>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</si>
  <si>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</si>
  <si>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</si>
  <si>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</si>
  <si>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</si>
  <si>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</si>
  <si>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</si>
  <si>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</si>
  <si>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</si>
  <si>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</si>
  <si>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</si>
  <si>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</si>
  <si>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</si>
  <si>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</si>
  <si>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</si>
  <si>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</si>
  <si>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</si>
  <si>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</si>
  <si>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</si>
  <si>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</si>
  <si>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</si>
  <si>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</si>
  <si>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</si>
  <si>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</si>
  <si>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</si>
  <si>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</si>
  <si>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</si>
  <si>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</si>
  <si>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</si>
  <si>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</si>
  <si>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</si>
  <si>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</si>
  <si>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</si>
  <si>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</si>
  <si>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</si>
  <si>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</si>
  <si>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</si>
  <si>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</si>
  <si>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</si>
  <si>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</si>
  <si>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</si>
  <si>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</si>
  <si>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</si>
  <si>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</si>
  <si>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</si>
  <si>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</si>
  <si>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</si>
  <si>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</si>
  <si>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</si>
  <si>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</si>
  <si>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</si>
  <si>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</si>
  <si>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</si>
  <si>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</si>
  <si>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</si>
  <si>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</si>
  <si>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</si>
  <si>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</si>
  <si>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</si>
  <si>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</si>
  <si>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</si>
  <si>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</si>
  <si>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</si>
  <si>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</si>
  <si>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</si>
  <si>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</si>
  <si>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</si>
  <si>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</si>
  <si>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</si>
  <si>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</si>
  <si>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</si>
  <si>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</si>
  <si>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</si>
  <si>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</si>
  <si>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</si>
  <si>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</si>
  <si>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</si>
  <si>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</si>
  <si>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</si>
  <si>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</si>
  <si>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</si>
  <si>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</si>
  <si>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</si>
  <si>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</si>
  <si>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</si>
  <si>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</si>
  <si>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</si>
  <si>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</si>
  <si>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</si>
  <si>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</si>
  <si>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</si>
  <si>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</si>
  <si>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</si>
  <si>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</si>
  <si>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</si>
  <si>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</si>
  <si>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</si>
  <si>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</si>
  <si>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</si>
  <si>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</si>
  <si>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</si>
  <si>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</si>
  <si>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</si>
  <si>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</si>
  <si>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</si>
  <si>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</si>
  <si>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</si>
  <si>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</si>
  <si>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</si>
  <si>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</si>
  <si>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</si>
  <si>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</si>
  <si>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</si>
  <si>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</si>
  <si>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</si>
  <si>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</si>
  <si>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</si>
  <si>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</si>
  <si>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</si>
  <si>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</si>
  <si>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</si>
  <si>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</si>
  <si>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</si>
  <si>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</si>
  <si>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</si>
  <si>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</si>
  <si>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</si>
  <si>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</si>
  <si>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</si>
  <si>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</si>
  <si>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</si>
  <si>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</si>
  <si>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</si>
  <si>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</si>
  <si>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</si>
  <si>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</si>
  <si>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</si>
  <si>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</si>
  <si>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</si>
  <si>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</si>
  <si>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</si>
  <si>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</si>
  <si>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</si>
  <si>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</si>
  <si>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</si>
  <si>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</si>
  <si>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</si>
  <si>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</si>
  <si>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</si>
  <si>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</si>
  <si>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</si>
  <si>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</si>
  <si>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</si>
  <si>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</si>
  <si>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</si>
  <si>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</si>
  <si>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</si>
  <si>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</si>
  <si>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</si>
  <si>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</si>
  <si>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</si>
  <si>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</si>
  <si>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</si>
  <si>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</si>
  <si>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</si>
  <si>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</si>
  <si>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</si>
  <si>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</si>
  <si>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</si>
  <si>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</si>
  <si>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</si>
  <si>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</si>
  <si>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</si>
  <si>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</si>
  <si>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</si>
  <si>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</si>
  <si>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</si>
  <si>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</si>
  <si>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</si>
  <si>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</si>
  <si>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</si>
  <si>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</si>
  <si>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</si>
  <si>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</si>
  <si>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</si>
  <si>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</si>
  <si>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</si>
  <si>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</si>
  <si>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</si>
  <si>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</si>
  <si>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</si>
  <si>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</si>
  <si>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</si>
  <si>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</si>
  <si>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</si>
  <si>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</si>
  <si>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</si>
  <si>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</si>
  <si>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</si>
  <si>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</si>
  <si>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</si>
  <si>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</si>
  <si>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</si>
  <si>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</si>
  <si>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</si>
  <si>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</si>
  <si>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</si>
  <si>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</si>
  <si>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</si>
  <si>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</si>
  <si>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</si>
  <si>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</si>
  <si>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</si>
  <si>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</si>
  <si>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</si>
  <si>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</si>
  <si>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</si>
  <si>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</si>
  <si>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</si>
  <si>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</si>
  <si>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</si>
  <si>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</si>
  <si>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</si>
  <si>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</si>
  <si>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</si>
  <si>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</si>
  <si>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</si>
  <si>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</si>
  <si>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</si>
  <si>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</si>
  <si>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</si>
  <si>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</si>
  <si>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</si>
  <si>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</si>
  <si>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</si>
  <si>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</si>
  <si>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</si>
  <si>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</si>
  <si>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</si>
  <si>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</si>
  <si>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</si>
  <si>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</si>
  <si>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</si>
  <si>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</si>
  <si>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</si>
  <si>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</si>
  <si>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</si>
  <si>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</si>
  <si>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</si>
  <si>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</si>
  <si>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</si>
  <si>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</si>
  <si>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</si>
  <si>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</si>
  <si>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</si>
  <si>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</si>
  <si>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</si>
  <si>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</si>
  <si>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</si>
  <si>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</si>
  <si>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</si>
  <si>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</si>
  <si>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</si>
  <si>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</si>
  <si>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</si>
  <si>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</si>
  <si>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</si>
  <si>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</si>
  <si>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</si>
  <si>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</si>
  <si>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</si>
  <si>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</si>
  <si>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</si>
  <si>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</si>
  <si>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</si>
  <si>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</si>
  <si>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</si>
  <si>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</si>
  <si>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</si>
  <si>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</si>
  <si>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</si>
  <si>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</si>
  <si>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</si>
  <si>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</si>
  <si>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</si>
  <si>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</si>
  <si>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</si>
  <si>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</si>
  <si>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</si>
  <si>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</si>
  <si>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</si>
  <si>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</si>
  <si>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</si>
  <si>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</si>
  <si>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</si>
  <si>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</si>
  <si>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</si>
  <si>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</si>
  <si>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</si>
  <si>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</si>
  <si>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</si>
  <si>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</si>
  <si>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</si>
  <si>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</si>
  <si>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</si>
  <si>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</si>
  <si>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</si>
  <si>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</si>
  <si>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</si>
  <si>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</si>
  <si>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</si>
  <si>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</si>
  <si>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</si>
  <si>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</si>
  <si>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</si>
  <si>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</si>
  <si>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</si>
  <si>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</si>
  <si>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</si>
  <si>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</si>
  <si>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</si>
  <si>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</si>
  <si>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</si>
  <si>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</si>
  <si>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</si>
  <si>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</si>
  <si>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</si>
  <si>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</si>
  <si>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</si>
  <si>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</si>
  <si>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</si>
  <si>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</si>
  <si>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</si>
  <si>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</si>
  <si>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</si>
  <si>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</si>
  <si>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</si>
  <si>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</si>
  <si>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</si>
  <si>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</si>
  <si>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</si>
  <si>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</si>
  <si>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</si>
  <si>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</si>
  <si>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</si>
  <si>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</si>
  <si>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</si>
  <si>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</si>
  <si>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</si>
  <si>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</si>
  <si>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</si>
  <si>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</si>
  <si>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</si>
  <si>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</si>
  <si>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</si>
  <si>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</si>
  <si>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</si>
  <si>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</si>
  <si>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</si>
  <si>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</si>
  <si>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</si>
  <si>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</si>
  <si>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</si>
  <si>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</si>
  <si>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</si>
  <si>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</si>
  <si>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</si>
  <si>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</si>
  <si>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</si>
  <si>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</si>
  <si>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</si>
  <si>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</si>
  <si>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</si>
  <si>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</si>
  <si>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</si>
  <si>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</si>
  <si>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</si>
  <si>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</si>
  <si>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</si>
  <si>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</si>
  <si>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</si>
  <si>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</si>
  <si>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</si>
  <si>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</si>
  <si>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</si>
  <si>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</si>
  <si>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</si>
  <si>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</si>
  <si>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</si>
  <si>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</si>
  <si>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</si>
  <si>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</si>
  <si>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</si>
  <si>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</si>
  <si>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</si>
  <si>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</si>
  <si>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</si>
  <si>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</si>
  <si>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</si>
  <si>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</si>
  <si>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</si>
  <si>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</si>
  <si>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</si>
  <si>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</si>
  <si>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</si>
  <si>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</si>
  <si>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</si>
  <si>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</si>
  <si>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</si>
  <si>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</si>
  <si>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</si>
  <si>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</si>
  <si>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</si>
  <si>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</si>
  <si>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</si>
  <si>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</si>
  <si>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</si>
  <si>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</si>
  <si>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</si>
  <si>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</si>
  <si>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</si>
  <si>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</si>
  <si>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</si>
  <si>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</si>
  <si>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</si>
  <si>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</si>
  <si>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</si>
  <si>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</si>
  <si>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</si>
  <si>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</si>
  <si>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</si>
  <si>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</si>
  <si>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</si>
  <si>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</si>
  <si>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</si>
  <si>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</si>
  <si>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</si>
  <si>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</si>
  <si>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</si>
  <si>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</si>
  <si>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</si>
  <si>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</si>
  <si>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</si>
  <si>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</si>
  <si>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</si>
  <si>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</si>
  <si>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</si>
  <si>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</si>
  <si>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</si>
  <si>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</si>
  <si>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</si>
  <si>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</si>
  <si>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</si>
  <si>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</si>
  <si>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</si>
  <si>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</si>
  <si>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</si>
  <si>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</si>
  <si>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</si>
  <si>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</si>
  <si>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</si>
  <si>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</si>
  <si>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</si>
  <si>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</si>
  <si>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</si>
  <si>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</si>
  <si>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</si>
  <si>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</si>
  <si>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</si>
  <si>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</si>
  <si>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</si>
  <si>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</si>
  <si>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</si>
  <si>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</si>
  <si>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</si>
  <si>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</si>
  <si>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</si>
  <si>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</si>
  <si>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</si>
  <si>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</si>
  <si>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</si>
  <si>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</si>
  <si>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</si>
  <si>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</si>
  <si>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</si>
  <si>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</si>
  <si>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</si>
  <si>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</si>
  <si>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</si>
  <si>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</si>
  <si>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</si>
  <si>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</si>
  <si>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</si>
  <si>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</si>
  <si>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</si>
  <si>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</si>
  <si>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</si>
  <si>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</si>
  <si>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</si>
  <si>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</si>
  <si>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</si>
  <si>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</si>
  <si>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</si>
  <si>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</si>
  <si>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</si>
  <si>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</si>
  <si>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</si>
  <si>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</si>
  <si>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</si>
  <si>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</si>
  <si>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</si>
  <si>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</si>
  <si>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</si>
  <si>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</si>
  <si>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</si>
  <si>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</si>
  <si>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</si>
  <si>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</si>
  <si>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</si>
  <si>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</si>
  <si>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</si>
  <si>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</si>
  <si>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</si>
  <si>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</si>
  <si>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</si>
  <si>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</si>
  <si>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</si>
  <si>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</si>
  <si>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</si>
  <si>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</si>
  <si>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</si>
  <si>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</si>
  <si>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</si>
  <si>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</si>
  <si>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</si>
  <si>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</si>
  <si>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</si>
  <si>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</si>
  <si>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</si>
  <si>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</si>
  <si>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</si>
  <si>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</si>
  <si>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</si>
  <si>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</si>
  <si>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</si>
  <si>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</si>
  <si>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</si>
  <si>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</si>
  <si>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</si>
  <si>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</si>
  <si>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</si>
  <si>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</si>
  <si>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</si>
  <si>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</si>
  <si>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</si>
  <si>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</si>
  <si>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</si>
  <si>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</si>
  <si>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</si>
  <si>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</si>
  <si>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</si>
  <si>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</si>
  <si>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</si>
  <si>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</si>
  <si>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</si>
  <si>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</si>
  <si>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</si>
  <si>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</si>
  <si>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</si>
  <si>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</si>
  <si>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</si>
  <si>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</si>
  <si>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</si>
  <si>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</si>
  <si>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</si>
  <si>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</si>
  <si>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</si>
  <si>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</si>
  <si>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</si>
  <si>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</si>
  <si>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</si>
  <si>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</si>
  <si>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</si>
  <si>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</si>
  <si>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</si>
  <si>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</si>
  <si>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</si>
  <si>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</si>
  <si>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</si>
  <si>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</si>
  <si>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</si>
  <si>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</si>
  <si>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</si>
  <si>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</si>
  <si>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</si>
  <si>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</si>
  <si>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</si>
  <si>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</si>
  <si>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</si>
  <si>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</si>
  <si>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</si>
  <si>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</si>
  <si>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</si>
  <si>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</si>
  <si>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</si>
  <si>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</si>
  <si>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</si>
  <si>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</si>
  <si>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</si>
  <si>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</si>
  <si>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</si>
  <si>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</si>
  <si>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</si>
  <si>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</si>
  <si>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</si>
  <si>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</si>
  <si>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</si>
  <si>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</si>
  <si>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</si>
  <si>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</si>
  <si>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</si>
  <si>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</si>
  <si>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</si>
  <si>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</si>
  <si>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</si>
  <si>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</si>
  <si>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</si>
  <si>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</si>
  <si>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</si>
  <si>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</si>
  <si>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</si>
  <si>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</si>
  <si>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</si>
  <si>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</si>
  <si>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</si>
  <si>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</si>
  <si>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</si>
  <si>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</si>
  <si>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</si>
  <si>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</si>
  <si>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</si>
  <si>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</si>
  <si>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</si>
  <si>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</si>
  <si>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</si>
  <si>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</si>
  <si>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</si>
  <si>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</si>
  <si>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</si>
  <si>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</si>
  <si>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</si>
  <si>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</si>
  <si>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</si>
  <si>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</si>
  <si>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</si>
  <si>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</si>
  <si>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</si>
  <si>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</si>
  <si>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</si>
  <si>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</si>
  <si>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</si>
  <si>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</si>
  <si>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</si>
  <si>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</si>
  <si>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</si>
  <si>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</si>
  <si>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</si>
  <si>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</si>
  <si>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</si>
  <si>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</si>
  <si>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</si>
  <si>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</si>
  <si>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</si>
  <si>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</si>
  <si>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</si>
  <si>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</si>
  <si>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</si>
  <si>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</si>
  <si>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</si>
  <si>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</si>
  <si>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</si>
  <si>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</si>
  <si>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</si>
  <si>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</si>
  <si>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</si>
  <si>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</si>
  <si>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</si>
  <si>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</si>
  <si>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</si>
  <si>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</si>
  <si>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</si>
  <si>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</si>
  <si>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</si>
  <si>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</si>
  <si>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</si>
  <si>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</si>
  <si>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</si>
  <si>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</si>
  <si>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</si>
  <si>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</si>
  <si>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</si>
  <si>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</si>
  <si>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</si>
  <si>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</si>
  <si>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</si>
  <si>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</si>
  <si>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</si>
  <si>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</si>
  <si>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</si>
  <si>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</si>
  <si>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</si>
  <si>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</si>
  <si>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</si>
  <si>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</si>
  <si>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</si>
  <si>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</si>
  <si>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</si>
  <si>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</si>
  <si>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</si>
  <si>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</si>
  <si>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</si>
  <si>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</si>
  <si>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</si>
  <si>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</si>
  <si>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</si>
  <si>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</si>
  <si>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</si>
  <si>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</si>
  <si>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</si>
  <si>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</si>
  <si>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</si>
  <si>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</si>
  <si>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</si>
  <si>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</si>
  <si>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</si>
  <si>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</si>
  <si>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</si>
  <si>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</si>
  <si>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</si>
  <si>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</si>
  <si>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</si>
  <si>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</si>
  <si>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</si>
  <si>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</si>
  <si>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</si>
  <si>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</si>
  <si>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</si>
  <si>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</si>
  <si>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</si>
  <si>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</si>
  <si>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</si>
  <si>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</si>
  <si>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</si>
  <si>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</si>
  <si>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</si>
  <si>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</si>
  <si>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</si>
  <si>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</si>
  <si>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</si>
  <si>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</si>
  <si>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</si>
  <si>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</si>
  <si>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</si>
  <si>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</si>
  <si>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</si>
  <si>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</si>
  <si>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</si>
  <si>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</si>
  <si>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</si>
  <si>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</si>
  <si>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</si>
  <si>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</si>
  <si>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</si>
  <si>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</si>
  <si>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</si>
  <si>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</si>
  <si>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</si>
  <si>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</si>
  <si>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</si>
  <si>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</si>
  <si>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</si>
  <si>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</si>
  <si>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</si>
  <si>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</si>
  <si>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</si>
  <si>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</si>
  <si>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</si>
  <si>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</si>
  <si>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</si>
  <si>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</si>
  <si>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</si>
  <si>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</si>
  <si>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</si>
  <si>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</si>
  <si>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"МОНБАТ" АД</t>
  </si>
  <si>
    <t>неконсолидиран</t>
  </si>
  <si>
    <t>01.01.2007 г.- 31.12.2007 г.</t>
  </si>
  <si>
    <t>1. "СТАРТ" АД</t>
  </si>
  <si>
    <t>1. МОНБАТ СЪРБИЯ</t>
  </si>
  <si>
    <t>2. SC MONBAT RECYCLING SRL Румъния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</si>
</sst>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61">
      <selection activeCell="G20" sqref="G20:H2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865</v>
      </c>
      <c r="F3" s="273" t="s">
        <v>2</v>
      </c>
      <c r="G3" s="226"/>
      <c r="H3" s="594">
        <v>111028849</v>
      </c>
    </row>
    <row r="4" spans="1:8" ht="28.5">
      <c r="A4" s="204" t="s">
        <v>3</v>
      </c>
      <c r="B4" s="582"/>
      <c r="C4" s="582"/>
      <c r="D4" s="583"/>
      <c r="E4" s="575" t="s">
        <v>866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4770</v>
      </c>
      <c r="D11" s="205">
        <v>4864</v>
      </c>
      <c r="E11" s="293" t="s">
        <v>22</v>
      </c>
      <c r="F11" s="298" t="s">
        <v>23</v>
      </c>
      <c r="G11" s="206">
        <v>19500</v>
      </c>
      <c r="H11" s="206">
        <v>19500</v>
      </c>
    </row>
    <row r="12" spans="1:8" ht="15">
      <c r="A12" s="291" t="s">
        <v>24</v>
      </c>
      <c r="B12" s="297" t="s">
        <v>25</v>
      </c>
      <c r="C12" s="205">
        <v>10105</v>
      </c>
      <c r="D12" s="205">
        <v>8607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15165</v>
      </c>
      <c r="D13" s="205">
        <v>13744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1509</v>
      </c>
      <c r="D14" s="205">
        <v>1120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1553</v>
      </c>
      <c r="D15" s="205">
        <v>1307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1431</v>
      </c>
      <c r="D16" s="205">
        <v>1071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5398</v>
      </c>
      <c r="D17" s="205">
        <v>909</v>
      </c>
      <c r="E17" s="299" t="s">
        <v>46</v>
      </c>
      <c r="F17" s="301" t="s">
        <v>47</v>
      </c>
      <c r="G17" s="208">
        <f>G11+G14+G15+G16</f>
        <v>19500</v>
      </c>
      <c r="H17" s="208">
        <f>H11+H14+H15+H16</f>
        <v>19500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39931</v>
      </c>
      <c r="D19" s="209">
        <f>SUM(D11:D18)</f>
        <v>31622</v>
      </c>
      <c r="E19" s="293" t="s">
        <v>53</v>
      </c>
      <c r="F19" s="298" t="s">
        <v>54</v>
      </c>
      <c r="G19" s="206">
        <v>27965</v>
      </c>
      <c r="H19" s="206">
        <v>27965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13922</v>
      </c>
      <c r="H20" s="212">
        <v>7166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5082</v>
      </c>
      <c r="H21" s="210">
        <f>SUM(H22:H24)</f>
        <v>4321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5082</v>
      </c>
      <c r="H22" s="206">
        <v>4321</v>
      </c>
    </row>
    <row r="23" spans="1:13" ht="15">
      <c r="A23" s="291" t="s">
        <v>66</v>
      </c>
      <c r="B23" s="297" t="s">
        <v>67</v>
      </c>
      <c r="C23" s="205">
        <v>28</v>
      </c>
      <c r="D23" s="205">
        <v>20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23</v>
      </c>
      <c r="D24" s="205">
        <v>19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46969</v>
      </c>
      <c r="H25" s="208">
        <f>H19+H20+H21</f>
        <v>39452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51</v>
      </c>
      <c r="D27" s="209">
        <f>SUM(D23:D26)</f>
        <v>39</v>
      </c>
      <c r="E27" s="309" t="s">
        <v>83</v>
      </c>
      <c r="F27" s="298" t="s">
        <v>84</v>
      </c>
      <c r="G27" s="208">
        <f>SUM(G28:G30)</f>
        <v>3441</v>
      </c>
      <c r="H27" s="208">
        <f>SUM(H28:H30)</f>
        <v>3441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3441</v>
      </c>
      <c r="H28" s="206">
        <v>3441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>
        <v>4111</v>
      </c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17409</v>
      </c>
      <c r="H31" s="206">
        <v>7603</v>
      </c>
      <c r="M31" s="211"/>
    </row>
    <row r="32" spans="1:15" ht="15">
      <c r="A32" s="291" t="s">
        <v>98</v>
      </c>
      <c r="B32" s="306" t="s">
        <v>99</v>
      </c>
      <c r="C32" s="209">
        <f>C30+C31</f>
        <v>4111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20850</v>
      </c>
      <c r="H33" s="208">
        <f>H27+H31+H32</f>
        <v>11044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853</v>
      </c>
      <c r="B34" s="300" t="s">
        <v>105</v>
      </c>
      <c r="C34" s="209">
        <f>SUM(C35:C38)</f>
        <v>4860</v>
      </c>
      <c r="D34" s="209">
        <f>SUM(D35:D38)</f>
        <v>1799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4860</v>
      </c>
      <c r="D35" s="205">
        <v>1799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87319</v>
      </c>
      <c r="H36" s="208">
        <f>H25+H17+H33</f>
        <v>69996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18897</v>
      </c>
      <c r="H44" s="206">
        <v>605</v>
      </c>
    </row>
    <row r="45" spans="1:15" ht="15">
      <c r="A45" s="291" t="s">
        <v>136</v>
      </c>
      <c r="B45" s="305" t="s">
        <v>137</v>
      </c>
      <c r="C45" s="209">
        <f>C34+C39+C44</f>
        <v>4860</v>
      </c>
      <c r="D45" s="209">
        <f>D34+D39+D44</f>
        <v>1799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706</v>
      </c>
      <c r="H46" s="206">
        <v>1067</v>
      </c>
    </row>
    <row r="47" spans="1:13" ht="15">
      <c r="A47" s="291" t="s">
        <v>143</v>
      </c>
      <c r="B47" s="297" t="s">
        <v>144</v>
      </c>
      <c r="C47" s="205">
        <v>8890</v>
      </c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19603</v>
      </c>
      <c r="H49" s="208">
        <f>SUM(H43:H48)</f>
        <v>1672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8890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1816</v>
      </c>
      <c r="H53" s="206">
        <v>1589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57843</v>
      </c>
      <c r="D55" s="209">
        <f>D19+D20+D21+D27+D32+D45+D51+D53+D54</f>
        <v>33460</v>
      </c>
      <c r="E55" s="293" t="s">
        <v>172</v>
      </c>
      <c r="F55" s="317" t="s">
        <v>173</v>
      </c>
      <c r="G55" s="208">
        <f>G49+G51+G52+G53+G54</f>
        <v>21419</v>
      </c>
      <c r="H55" s="208">
        <f>H49+H51+H52+H53+H54</f>
        <v>3261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11706</v>
      </c>
      <c r="D58" s="205">
        <v>8327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5692</v>
      </c>
      <c r="D59" s="205">
        <v>1066</v>
      </c>
      <c r="E59" s="307" t="s">
        <v>181</v>
      </c>
      <c r="F59" s="298" t="s">
        <v>182</v>
      </c>
      <c r="G59" s="206">
        <v>5623</v>
      </c>
      <c r="H59" s="206"/>
      <c r="M59" s="211"/>
    </row>
    <row r="60" spans="1:8" ht="15">
      <c r="A60" s="291" t="s">
        <v>183</v>
      </c>
      <c r="B60" s="297" t="s">
        <v>184</v>
      </c>
      <c r="C60" s="205">
        <v>699</v>
      </c>
      <c r="D60" s="205">
        <v>25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21782</v>
      </c>
      <c r="D61" s="205">
        <v>11467</v>
      </c>
      <c r="E61" s="299" t="s">
        <v>189</v>
      </c>
      <c r="F61" s="328" t="s">
        <v>190</v>
      </c>
      <c r="G61" s="208">
        <f>SUM(G62:G68)</f>
        <v>13826</v>
      </c>
      <c r="H61" s="208">
        <f>SUM(H62:H68)</f>
        <v>7379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39879</v>
      </c>
      <c r="D64" s="209">
        <f>SUM(D58:D63)</f>
        <v>20885</v>
      </c>
      <c r="E64" s="293" t="s">
        <v>200</v>
      </c>
      <c r="F64" s="298" t="s">
        <v>201</v>
      </c>
      <c r="G64" s="206">
        <v>11544</v>
      </c>
      <c r="H64" s="206">
        <v>5319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176</v>
      </c>
      <c r="H65" s="206">
        <v>348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595</v>
      </c>
      <c r="H66" s="206">
        <v>453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233</v>
      </c>
      <c r="H67" s="206">
        <v>202</v>
      </c>
    </row>
    <row r="68" spans="1:8" ht="15">
      <c r="A68" s="291" t="s">
        <v>211</v>
      </c>
      <c r="B68" s="297" t="s">
        <v>212</v>
      </c>
      <c r="C68" s="205">
        <v>23306</v>
      </c>
      <c r="D68" s="205">
        <v>10407</v>
      </c>
      <c r="E68" s="293" t="s">
        <v>213</v>
      </c>
      <c r="F68" s="298" t="s">
        <v>214</v>
      </c>
      <c r="G68" s="206">
        <v>1278</v>
      </c>
      <c r="H68" s="206">
        <v>1057</v>
      </c>
    </row>
    <row r="69" spans="1:8" ht="15">
      <c r="A69" s="291" t="s">
        <v>215</v>
      </c>
      <c r="B69" s="297" t="s">
        <v>216</v>
      </c>
      <c r="C69" s="205">
        <v>386</v>
      </c>
      <c r="D69" s="205">
        <v>514</v>
      </c>
      <c r="E69" s="307" t="s">
        <v>78</v>
      </c>
      <c r="F69" s="298" t="s">
        <v>217</v>
      </c>
      <c r="G69" s="206">
        <v>60</v>
      </c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633</v>
      </c>
      <c r="D71" s="205">
        <v>979</v>
      </c>
      <c r="E71" s="309" t="s">
        <v>46</v>
      </c>
      <c r="F71" s="329" t="s">
        <v>224</v>
      </c>
      <c r="G71" s="215">
        <f>G59+G60+G61+G69+G70</f>
        <v>19509</v>
      </c>
      <c r="H71" s="215">
        <f>H59+H60+H61+H69+H70</f>
        <v>7379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440</v>
      </c>
      <c r="D72" s="205">
        <v>2148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934</v>
      </c>
      <c r="D74" s="205">
        <v>6048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25699</v>
      </c>
      <c r="D75" s="209">
        <f>SUM(D67:D74)</f>
        <v>20096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19509</v>
      </c>
      <c r="H79" s="216">
        <f>H71+H74+H75+H76</f>
        <v>7379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1239</v>
      </c>
      <c r="D87" s="205">
        <v>2121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3441</v>
      </c>
      <c r="D88" s="205">
        <f>3602+59</f>
        <v>3661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93</v>
      </c>
      <c r="D89" s="205">
        <v>73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4773</v>
      </c>
      <c r="D91" s="209">
        <f>SUM(D87:D90)</f>
        <v>5855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53</v>
      </c>
      <c r="D92" s="205">
        <v>340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70404</v>
      </c>
      <c r="D93" s="209">
        <f>D64+D75+D84+D91+D92</f>
        <v>47176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128247</v>
      </c>
      <c r="D94" s="218">
        <f>D93+D55</f>
        <v>80636</v>
      </c>
      <c r="E94" s="558" t="s">
        <v>270</v>
      </c>
      <c r="F94" s="345" t="s">
        <v>271</v>
      </c>
      <c r="G94" s="219">
        <f>G36+G39+G55+G79</f>
        <v>128247</v>
      </c>
      <c r="H94" s="219">
        <f>H36+H39+H55+H79</f>
        <v>80636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854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5" t="s">
        <v>382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784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G31" sqref="G31:H3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"МОНБАТ" АД</v>
      </c>
      <c r="F2" s="609" t="s">
        <v>2</v>
      </c>
      <c r="G2" s="609"/>
      <c r="H2" s="353">
        <f>'справка №1-БАЛАНС'!H3</f>
        <v>111028849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01.01.2007 г.- 31.12.2007 г.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f>108275-8-674-1799-675-138</f>
        <v>104981</v>
      </c>
      <c r="D9" s="79">
        <v>45675</v>
      </c>
      <c r="E9" s="363" t="s">
        <v>284</v>
      </c>
      <c r="F9" s="365" t="s">
        <v>285</v>
      </c>
      <c r="G9" s="597">
        <v>131068</v>
      </c>
      <c r="H9" s="597">
        <v>76828</v>
      </c>
    </row>
    <row r="10" spans="1:8" ht="12">
      <c r="A10" s="363" t="s">
        <v>286</v>
      </c>
      <c r="B10" s="364" t="s">
        <v>287</v>
      </c>
      <c r="C10" s="79">
        <f>13988-225-48-1326-1457</f>
        <v>10932</v>
      </c>
      <c r="D10" s="79">
        <v>7871</v>
      </c>
      <c r="E10" s="363" t="s">
        <v>288</v>
      </c>
      <c r="F10" s="365" t="s">
        <v>289</v>
      </c>
      <c r="G10" s="597">
        <v>324</v>
      </c>
      <c r="H10" s="597">
        <v>582</v>
      </c>
    </row>
    <row r="11" spans="1:8" ht="12">
      <c r="A11" s="363" t="s">
        <v>290</v>
      </c>
      <c r="B11" s="364" t="s">
        <v>291</v>
      </c>
      <c r="C11" s="79">
        <v>4294</v>
      </c>
      <c r="D11" s="79">
        <v>4193</v>
      </c>
      <c r="E11" s="366" t="s">
        <v>292</v>
      </c>
      <c r="F11" s="365" t="s">
        <v>293</v>
      </c>
      <c r="G11" s="597">
        <v>2879</v>
      </c>
      <c r="H11" s="597">
        <v>26</v>
      </c>
    </row>
    <row r="12" spans="1:8" ht="12">
      <c r="A12" s="363" t="s">
        <v>294</v>
      </c>
      <c r="B12" s="364" t="s">
        <v>295</v>
      </c>
      <c r="C12" s="79">
        <v>7165</v>
      </c>
      <c r="D12" s="79">
        <v>5779</v>
      </c>
      <c r="E12" s="366" t="s">
        <v>78</v>
      </c>
      <c r="F12" s="365" t="s">
        <v>296</v>
      </c>
      <c r="G12" s="597">
        <v>9723</v>
      </c>
      <c r="H12" s="597">
        <v>1155</v>
      </c>
    </row>
    <row r="13" spans="1:18" ht="12">
      <c r="A13" s="363" t="s">
        <v>297</v>
      </c>
      <c r="B13" s="364" t="s">
        <v>298</v>
      </c>
      <c r="C13" s="79">
        <v>1852</v>
      </c>
      <c r="D13" s="79">
        <v>1614</v>
      </c>
      <c r="E13" s="367" t="s">
        <v>51</v>
      </c>
      <c r="F13" s="368" t="s">
        <v>299</v>
      </c>
      <c r="G13" s="88">
        <f>SUM(G9:G12)</f>
        <v>143994</v>
      </c>
      <c r="H13" s="88">
        <f>SUM(H9:H12)</f>
        <v>78591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6557</v>
      </c>
      <c r="D14" s="79">
        <v>2501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>
        <v>-14940</v>
      </c>
      <c r="D15" s="80">
        <v>-432</v>
      </c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2583</v>
      </c>
      <c r="D16" s="80">
        <v>911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123424</v>
      </c>
      <c r="D19" s="82">
        <f>SUM(D9:D15)+D16</f>
        <v>68112</v>
      </c>
      <c r="E19" s="373" t="s">
        <v>316</v>
      </c>
      <c r="F19" s="369" t="s">
        <v>317</v>
      </c>
      <c r="G19" s="597">
        <v>50</v>
      </c>
      <c r="H19" s="597">
        <v>17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597"/>
      <c r="H20" s="59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597"/>
      <c r="H21" s="597"/>
    </row>
    <row r="22" spans="1:8" ht="24">
      <c r="A22" s="360" t="s">
        <v>323</v>
      </c>
      <c r="B22" s="375" t="s">
        <v>324</v>
      </c>
      <c r="C22" s="79">
        <v>667</v>
      </c>
      <c r="D22" s="79">
        <v>1380</v>
      </c>
      <c r="E22" s="373" t="s">
        <v>325</v>
      </c>
      <c r="F22" s="369" t="s">
        <v>326</v>
      </c>
      <c r="G22" s="597">
        <v>126</v>
      </c>
      <c r="H22" s="597">
        <v>283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597"/>
      <c r="H23" s="597"/>
    </row>
    <row r="24" spans="1:18" ht="12">
      <c r="A24" s="363" t="s">
        <v>331</v>
      </c>
      <c r="B24" s="375" t="s">
        <v>332</v>
      </c>
      <c r="C24" s="79">
        <v>199</v>
      </c>
      <c r="D24" s="79">
        <v>335</v>
      </c>
      <c r="E24" s="367" t="s">
        <v>103</v>
      </c>
      <c r="F24" s="370" t="s">
        <v>333</v>
      </c>
      <c r="G24" s="88">
        <f>SUM(G19:G23)</f>
        <v>176</v>
      </c>
      <c r="H24" s="88">
        <f>SUM(H19:H23)</f>
        <v>300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459</v>
      </c>
      <c r="D25" s="79">
        <v>215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1325</v>
      </c>
      <c r="D26" s="82">
        <f>SUM(D22:D25)</f>
        <v>1930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124749</v>
      </c>
      <c r="D28" s="83">
        <f>D26+D19</f>
        <v>70042</v>
      </c>
      <c r="E28" s="174" t="s">
        <v>338</v>
      </c>
      <c r="F28" s="370" t="s">
        <v>339</v>
      </c>
      <c r="G28" s="88">
        <f>G13+G15+G24</f>
        <v>144170</v>
      </c>
      <c r="H28" s="88">
        <f>H13+H15+H24</f>
        <v>78891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19421</v>
      </c>
      <c r="D30" s="83">
        <f>IF((H28-D28)&gt;0,H28-D28,0)</f>
        <v>8849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855</v>
      </c>
      <c r="B31" s="376" t="s">
        <v>344</v>
      </c>
      <c r="C31" s="79"/>
      <c r="D31" s="79"/>
      <c r="E31" s="361" t="s">
        <v>858</v>
      </c>
      <c r="F31" s="369" t="s">
        <v>345</v>
      </c>
      <c r="G31" s="597"/>
      <c r="H31" s="597"/>
    </row>
    <row r="32" spans="1:8" ht="12">
      <c r="A32" s="361" t="s">
        <v>346</v>
      </c>
      <c r="B32" s="378" t="s">
        <v>347</v>
      </c>
      <c r="C32" s="79"/>
      <c r="D32" s="79">
        <v>12</v>
      </c>
      <c r="E32" s="361" t="s">
        <v>348</v>
      </c>
      <c r="F32" s="369" t="s">
        <v>349</v>
      </c>
      <c r="G32" s="597">
        <v>5</v>
      </c>
      <c r="H32" s="597">
        <v>13</v>
      </c>
    </row>
    <row r="33" spans="1:18" ht="12">
      <c r="A33" s="379" t="s">
        <v>350</v>
      </c>
      <c r="B33" s="376" t="s">
        <v>351</v>
      </c>
      <c r="C33" s="82">
        <f>C28-C31+C32</f>
        <v>124749</v>
      </c>
      <c r="D33" s="82">
        <f>D28-D31+D32</f>
        <v>70054</v>
      </c>
      <c r="E33" s="174" t="s">
        <v>352</v>
      </c>
      <c r="F33" s="370" t="s">
        <v>353</v>
      </c>
      <c r="G33" s="90">
        <f>G32-G31+G28</f>
        <v>144175</v>
      </c>
      <c r="H33" s="90">
        <f>H32-H31+H28</f>
        <v>78904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19426</v>
      </c>
      <c r="D34" s="83">
        <f>IF((H33-D33)&gt;0,H33-D33,0)</f>
        <v>8850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2017</v>
      </c>
      <c r="D35" s="82">
        <f>D36+D37+D38</f>
        <v>1247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>
        <v>1790</v>
      </c>
      <c r="D36" s="79">
        <v>1004</v>
      </c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>
        <v>227</v>
      </c>
      <c r="D37" s="537">
        <v>243</v>
      </c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17409</v>
      </c>
      <c r="D39" s="570">
        <f>+IF((H33-D33-D35)&gt;0,H33-D33-D35,0)</f>
        <v>7603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17409</v>
      </c>
      <c r="D41" s="85">
        <f>IF(H39=0,IF(D39-D40&gt;0,D39-D40+H40,0),IF(H39-H40&lt;0,H40-H39+D39,0))</f>
        <v>7603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144175</v>
      </c>
      <c r="D42" s="86">
        <f>D33+D35+D39</f>
        <v>78904</v>
      </c>
      <c r="E42" s="177" t="s">
        <v>379</v>
      </c>
      <c r="F42" s="178" t="s">
        <v>380</v>
      </c>
      <c r="G42" s="90">
        <f>G39+G33</f>
        <v>144175</v>
      </c>
      <c r="H42" s="90">
        <f>H39+H33</f>
        <v>78904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7"/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1496062992125984" bottom="0.35433070866141736" header="0.15748031496062992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4" sqref="D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"МОНБАТ" АД</v>
      </c>
      <c r="C4" s="397" t="s">
        <v>2</v>
      </c>
      <c r="D4" s="353">
        <f>'справка №1-БАЛАНС'!H3</f>
        <v>111028849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01.01.2007 г.- 31.12.2007 г.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132496</v>
      </c>
      <c r="D10" s="92">
        <v>77346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-135004</v>
      </c>
      <c r="D11" s="92">
        <v>-64878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-8453</v>
      </c>
      <c r="D13" s="92">
        <v>-6949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13111</v>
      </c>
      <c r="D14" s="92">
        <v>5109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>
        <v>-1628</v>
      </c>
      <c r="D15" s="92">
        <v>-371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-99</v>
      </c>
      <c r="D18" s="92">
        <v>-44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-773</v>
      </c>
      <c r="D19" s="92">
        <v>-642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-350</v>
      </c>
      <c r="D20" s="93">
        <f>SUM(D10:D19)</f>
        <v>9571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-12750</v>
      </c>
      <c r="D22" s="92">
        <v>-3095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>
        <f>-4133-8987</f>
        <v>-13120</v>
      </c>
      <c r="D31" s="92">
        <v>-1799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-25870</v>
      </c>
      <c r="D32" s="93">
        <f>SUM(D22:D31)</f>
        <v>-4894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>
        <f>27965+4700</f>
        <v>32665</v>
      </c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30685</v>
      </c>
      <c r="D36" s="92">
        <v>17160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-4147</v>
      </c>
      <c r="D37" s="92">
        <v>-37688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-413</v>
      </c>
      <c r="D38" s="92">
        <v>-12501</v>
      </c>
      <c r="E38" s="181"/>
      <c r="F38" s="181"/>
      <c r="G38" s="182"/>
    </row>
    <row r="39" spans="1:7" ht="12">
      <c r="A39" s="410" t="s">
        <v>442</v>
      </c>
      <c r="B39" s="411" t="s">
        <v>443</v>
      </c>
      <c r="C39" s="92">
        <v>-542</v>
      </c>
      <c r="D39" s="92">
        <v>-860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-445</v>
      </c>
      <c r="D41" s="92">
        <v>-214</v>
      </c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25138</v>
      </c>
      <c r="D42" s="93">
        <f>SUM(D34:D41)</f>
        <v>-1438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-1082</v>
      </c>
      <c r="D43" s="93">
        <f>D42+D32+D20</f>
        <v>3239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5855</v>
      </c>
      <c r="D44" s="184">
        <v>2616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4773</v>
      </c>
      <c r="D45" s="93">
        <f>D44+D43</f>
        <v>5855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4680</v>
      </c>
      <c r="D46" s="94">
        <f>+D45-D47</f>
        <v>5782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>
        <v>93</v>
      </c>
      <c r="D47" s="94">
        <v>73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610"/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610"/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E22" sqref="E2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460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"МОНБАТ" АД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1">
        <f>'справка №1-БАЛАНС'!H3</f>
        <v>111028849</v>
      </c>
      <c r="N3" s="3"/>
    </row>
    <row r="4" spans="1:15" s="5" customFormat="1" ht="13.5" customHeight="1">
      <c r="A4" s="6" t="s">
        <v>461</v>
      </c>
      <c r="B4" s="574"/>
      <c r="C4" s="613" t="str">
        <f>'справка №1-БАЛАНС'!E4</f>
        <v>неконсолидиран</v>
      </c>
      <c r="D4" s="613"/>
      <c r="E4" s="615"/>
      <c r="F4" s="613"/>
      <c r="G4" s="613"/>
      <c r="H4" s="533"/>
      <c r="I4" s="533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01.01.2007 г.- 31.12.2007 г.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19500</v>
      </c>
      <c r="D11" s="96">
        <f>'справка №1-БАЛАНС'!H19</f>
        <v>27965</v>
      </c>
      <c r="E11" s="96">
        <f>'справка №1-БАЛАНС'!H20</f>
        <v>7166</v>
      </c>
      <c r="F11" s="96">
        <f>'справка №1-БАЛАНС'!H22</f>
        <v>4321</v>
      </c>
      <c r="G11" s="96">
        <f>'справка №1-БАЛАНС'!H23</f>
        <v>0</v>
      </c>
      <c r="H11" s="98"/>
      <c r="I11" s="96">
        <f>'справка №1-БАЛАНС'!H28+'справка №1-БАЛАНС'!H31</f>
        <v>11044</v>
      </c>
      <c r="J11" s="96">
        <f>'справка №1-БАЛАНС'!H29+'справка №1-БАЛАНС'!H32</f>
        <v>0</v>
      </c>
      <c r="K11" s="98"/>
      <c r="L11" s="424">
        <f>SUM(C11:K11)</f>
        <v>69996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19500</v>
      </c>
      <c r="D15" s="99">
        <f aca="true" t="shared" si="2" ref="D15:M15">D11+D12</f>
        <v>27965</v>
      </c>
      <c r="E15" s="99">
        <f t="shared" si="2"/>
        <v>7166</v>
      </c>
      <c r="F15" s="99">
        <f t="shared" si="2"/>
        <v>4321</v>
      </c>
      <c r="G15" s="99">
        <f t="shared" si="2"/>
        <v>0</v>
      </c>
      <c r="H15" s="99">
        <f t="shared" si="2"/>
        <v>0</v>
      </c>
      <c r="I15" s="99">
        <f t="shared" si="2"/>
        <v>11044</v>
      </c>
      <c r="J15" s="99">
        <f t="shared" si="2"/>
        <v>0</v>
      </c>
      <c r="K15" s="99">
        <f t="shared" si="2"/>
        <v>0</v>
      </c>
      <c r="L15" s="424">
        <f t="shared" si="1"/>
        <v>69996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17409</v>
      </c>
      <c r="J16" s="425">
        <f>+'справка №1-БАЛАНС'!G32</f>
        <v>0</v>
      </c>
      <c r="K16" s="98"/>
      <c r="L16" s="424">
        <f t="shared" si="1"/>
        <v>17409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6842</v>
      </c>
      <c r="F17" s="100">
        <f t="shared" si="3"/>
        <v>761</v>
      </c>
      <c r="G17" s="100">
        <f t="shared" si="3"/>
        <v>0</v>
      </c>
      <c r="H17" s="100">
        <f t="shared" si="3"/>
        <v>0</v>
      </c>
      <c r="I17" s="100">
        <f t="shared" si="3"/>
        <v>-7603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>
        <v>6842</v>
      </c>
      <c r="F19" s="98">
        <v>761</v>
      </c>
      <c r="G19" s="98"/>
      <c r="H19" s="98"/>
      <c r="I19" s="98">
        <v>-7603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-86</v>
      </c>
      <c r="F28" s="98"/>
      <c r="G28" s="98"/>
      <c r="H28" s="98"/>
      <c r="I28" s="98"/>
      <c r="J28" s="98"/>
      <c r="K28" s="98"/>
      <c r="L28" s="424">
        <f t="shared" si="1"/>
        <v>-86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19500</v>
      </c>
      <c r="D29" s="97">
        <f aca="true" t="shared" si="6" ref="D29:M29">D17+D20+D21+D24+D28+D27+D15+D16</f>
        <v>27965</v>
      </c>
      <c r="E29" s="97">
        <f t="shared" si="6"/>
        <v>13922</v>
      </c>
      <c r="F29" s="97">
        <f t="shared" si="6"/>
        <v>5082</v>
      </c>
      <c r="G29" s="97">
        <f t="shared" si="6"/>
        <v>0</v>
      </c>
      <c r="H29" s="97">
        <f t="shared" si="6"/>
        <v>0</v>
      </c>
      <c r="I29" s="97">
        <f t="shared" si="6"/>
        <v>20850</v>
      </c>
      <c r="J29" s="97">
        <f t="shared" si="6"/>
        <v>0</v>
      </c>
      <c r="K29" s="97">
        <f t="shared" si="6"/>
        <v>0</v>
      </c>
      <c r="L29" s="424">
        <f t="shared" si="1"/>
        <v>87319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19500</v>
      </c>
      <c r="D32" s="97">
        <f t="shared" si="7"/>
        <v>27965</v>
      </c>
      <c r="E32" s="97">
        <f t="shared" si="7"/>
        <v>13922</v>
      </c>
      <c r="F32" s="97">
        <f t="shared" si="7"/>
        <v>5082</v>
      </c>
      <c r="G32" s="97">
        <f t="shared" si="7"/>
        <v>0</v>
      </c>
      <c r="H32" s="97">
        <f t="shared" si="7"/>
        <v>0</v>
      </c>
      <c r="I32" s="97">
        <f t="shared" si="7"/>
        <v>20850</v>
      </c>
      <c r="J32" s="97">
        <f t="shared" si="7"/>
        <v>0</v>
      </c>
      <c r="K32" s="97">
        <f t="shared" si="7"/>
        <v>0</v>
      </c>
      <c r="L32" s="424">
        <f t="shared" si="1"/>
        <v>87319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860</v>
      </c>
      <c r="B35" s="37"/>
      <c r="C35" s="24"/>
      <c r="D35" s="612" t="s">
        <v>522</v>
      </c>
      <c r="E35" s="612"/>
      <c r="F35" s="612"/>
      <c r="G35" s="612"/>
      <c r="H35" s="612"/>
      <c r="I35" s="612"/>
      <c r="J35" s="24" t="s">
        <v>861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1" right="0.16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H9" sqref="H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384</v>
      </c>
      <c r="B2" s="617"/>
      <c r="C2" s="584"/>
      <c r="D2" s="584"/>
      <c r="E2" s="613" t="str">
        <f>'справка №1-БАЛАНС'!E3</f>
        <v>"МОНБАТ" АД</v>
      </c>
      <c r="F2" s="618"/>
      <c r="G2" s="618"/>
      <c r="H2" s="584"/>
      <c r="I2" s="441"/>
      <c r="J2" s="441"/>
      <c r="K2" s="441"/>
      <c r="L2" s="441"/>
      <c r="M2" s="620" t="s">
        <v>2</v>
      </c>
      <c r="N2" s="621"/>
      <c r="O2" s="621"/>
      <c r="P2" s="622">
        <f>'справка №1-БАЛАНС'!H3</f>
        <v>111028849</v>
      </c>
      <c r="Q2" s="622"/>
      <c r="R2" s="353"/>
    </row>
    <row r="3" spans="1:18" ht="15">
      <c r="A3" s="616" t="s">
        <v>5</v>
      </c>
      <c r="B3" s="617"/>
      <c r="C3" s="585"/>
      <c r="D3" s="585"/>
      <c r="E3" s="613" t="str">
        <f>'справка №1-БАЛАНС'!E5</f>
        <v>01.01.2007 г.- 31.12.2007 г.</v>
      </c>
      <c r="F3" s="619"/>
      <c r="G3" s="619"/>
      <c r="H3" s="443"/>
      <c r="I3" s="443"/>
      <c r="J3" s="443"/>
      <c r="K3" s="443"/>
      <c r="L3" s="443"/>
      <c r="M3" s="623" t="s">
        <v>4</v>
      </c>
      <c r="N3" s="623"/>
      <c r="O3" s="576"/>
      <c r="P3" s="624" t="str">
        <f>'справка №1-БАЛАНС'!H4</f>
        <v> </v>
      </c>
      <c r="Q3" s="624"/>
      <c r="R3" s="354"/>
    </row>
    <row r="4" spans="1:18" ht="12.75">
      <c r="A4" s="436" t="s">
        <v>524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9" t="s">
        <v>464</v>
      </c>
      <c r="B5" s="630"/>
      <c r="C5" s="633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5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5" t="s">
        <v>530</v>
      </c>
      <c r="R5" s="625" t="s">
        <v>531</v>
      </c>
    </row>
    <row r="6" spans="1:18" s="44" customFormat="1" ht="48">
      <c r="A6" s="631"/>
      <c r="B6" s="632"/>
      <c r="C6" s="634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6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6"/>
      <c r="R6" s="626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4864</v>
      </c>
      <c r="E9" s="243">
        <v>628</v>
      </c>
      <c r="F9" s="243">
        <v>722</v>
      </c>
      <c r="G9" s="113">
        <f>D9+E9-F9</f>
        <v>4770</v>
      </c>
      <c r="H9" s="103"/>
      <c r="I9" s="103"/>
      <c r="J9" s="113">
        <f>G9+H9-I9</f>
        <v>4770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4770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9865</v>
      </c>
      <c r="E10" s="243">
        <v>1710</v>
      </c>
      <c r="F10" s="243"/>
      <c r="G10" s="113">
        <f aca="true" t="shared" si="2" ref="G10:G39">D10+E10-F10</f>
        <v>11575</v>
      </c>
      <c r="H10" s="103"/>
      <c r="I10" s="103"/>
      <c r="J10" s="113">
        <f aca="true" t="shared" si="3" ref="J10:J39">G10+H10-I10</f>
        <v>11575</v>
      </c>
      <c r="K10" s="103">
        <v>1258</v>
      </c>
      <c r="L10" s="103">
        <v>212</v>
      </c>
      <c r="M10" s="103"/>
      <c r="N10" s="113">
        <f aca="true" t="shared" si="4" ref="N10:N39">K10+L10-M10</f>
        <v>1470</v>
      </c>
      <c r="O10" s="103"/>
      <c r="P10" s="103"/>
      <c r="Q10" s="113">
        <f t="shared" si="0"/>
        <v>1470</v>
      </c>
      <c r="R10" s="113">
        <f t="shared" si="1"/>
        <v>10105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33490</v>
      </c>
      <c r="E11" s="243">
        <v>5801</v>
      </c>
      <c r="F11" s="243">
        <v>1032</v>
      </c>
      <c r="G11" s="113">
        <f t="shared" si="2"/>
        <v>38259</v>
      </c>
      <c r="H11" s="103"/>
      <c r="I11" s="103"/>
      <c r="J11" s="113">
        <f t="shared" si="3"/>
        <v>38259</v>
      </c>
      <c r="K11" s="103">
        <v>19746</v>
      </c>
      <c r="L11" s="103">
        <v>3354</v>
      </c>
      <c r="M11" s="103">
        <v>6</v>
      </c>
      <c r="N11" s="113">
        <f t="shared" si="4"/>
        <v>23094</v>
      </c>
      <c r="O11" s="103"/>
      <c r="P11" s="103"/>
      <c r="Q11" s="113">
        <f t="shared" si="0"/>
        <v>23094</v>
      </c>
      <c r="R11" s="113">
        <f t="shared" si="1"/>
        <v>15165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1334</v>
      </c>
      <c r="E12" s="243">
        <v>480</v>
      </c>
      <c r="F12" s="243">
        <v>35</v>
      </c>
      <c r="G12" s="113">
        <f t="shared" si="2"/>
        <v>1779</v>
      </c>
      <c r="H12" s="103"/>
      <c r="I12" s="103"/>
      <c r="J12" s="113">
        <f t="shared" si="3"/>
        <v>1779</v>
      </c>
      <c r="K12" s="103">
        <v>214</v>
      </c>
      <c r="L12" s="103">
        <v>61</v>
      </c>
      <c r="M12" s="103">
        <v>5</v>
      </c>
      <c r="N12" s="113">
        <f t="shared" si="4"/>
        <v>270</v>
      </c>
      <c r="O12" s="103"/>
      <c r="P12" s="103"/>
      <c r="Q12" s="113">
        <f t="shared" si="0"/>
        <v>270</v>
      </c>
      <c r="R12" s="113">
        <f t="shared" si="1"/>
        <v>1509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2244</v>
      </c>
      <c r="E13" s="243">
        <v>669</v>
      </c>
      <c r="F13" s="243">
        <v>95</v>
      </c>
      <c r="G13" s="113">
        <f t="shared" si="2"/>
        <v>2818</v>
      </c>
      <c r="H13" s="103"/>
      <c r="I13" s="103"/>
      <c r="J13" s="113">
        <f t="shared" si="3"/>
        <v>2818</v>
      </c>
      <c r="K13" s="103">
        <v>937</v>
      </c>
      <c r="L13" s="103">
        <v>409</v>
      </c>
      <c r="M13" s="103">
        <v>81</v>
      </c>
      <c r="N13" s="113">
        <f t="shared" si="4"/>
        <v>1265</v>
      </c>
      <c r="O13" s="103"/>
      <c r="P13" s="103"/>
      <c r="Q13" s="113">
        <f t="shared" si="0"/>
        <v>1265</v>
      </c>
      <c r="R13" s="113">
        <f t="shared" si="1"/>
        <v>1553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>
        <v>1636</v>
      </c>
      <c r="E14" s="243">
        <v>602</v>
      </c>
      <c r="F14" s="243"/>
      <c r="G14" s="113">
        <f t="shared" si="2"/>
        <v>2238</v>
      </c>
      <c r="H14" s="103"/>
      <c r="I14" s="103"/>
      <c r="J14" s="113">
        <f t="shared" si="3"/>
        <v>2238</v>
      </c>
      <c r="K14" s="103">
        <v>565</v>
      </c>
      <c r="L14" s="103">
        <v>242</v>
      </c>
      <c r="M14" s="103"/>
      <c r="N14" s="113">
        <f t="shared" si="4"/>
        <v>807</v>
      </c>
      <c r="O14" s="103"/>
      <c r="P14" s="103"/>
      <c r="Q14" s="113">
        <f t="shared" si="0"/>
        <v>807</v>
      </c>
      <c r="R14" s="113">
        <f t="shared" si="1"/>
        <v>1431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862</v>
      </c>
      <c r="B15" s="466" t="s">
        <v>863</v>
      </c>
      <c r="C15" s="564" t="s">
        <v>864</v>
      </c>
      <c r="D15" s="565">
        <v>909</v>
      </c>
      <c r="E15" s="565">
        <v>6350</v>
      </c>
      <c r="F15" s="565">
        <v>1861</v>
      </c>
      <c r="G15" s="113">
        <f t="shared" si="2"/>
        <v>5398</v>
      </c>
      <c r="H15" s="566"/>
      <c r="I15" s="566"/>
      <c r="J15" s="113">
        <f t="shared" si="3"/>
        <v>5398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5398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54342</v>
      </c>
      <c r="E17" s="248">
        <f>SUM(E9:E16)</f>
        <v>16240</v>
      </c>
      <c r="F17" s="248">
        <f>SUM(F9:F16)</f>
        <v>3745</v>
      </c>
      <c r="G17" s="113">
        <f t="shared" si="2"/>
        <v>66837</v>
      </c>
      <c r="H17" s="114">
        <f>SUM(H9:H16)</f>
        <v>0</v>
      </c>
      <c r="I17" s="114">
        <f>SUM(I9:I16)</f>
        <v>0</v>
      </c>
      <c r="J17" s="113">
        <f t="shared" si="3"/>
        <v>66837</v>
      </c>
      <c r="K17" s="114">
        <f>SUM(K9:K16)</f>
        <v>22720</v>
      </c>
      <c r="L17" s="114">
        <f>SUM(L9:L16)</f>
        <v>4278</v>
      </c>
      <c r="M17" s="114">
        <f>SUM(M9:M16)</f>
        <v>92</v>
      </c>
      <c r="N17" s="113">
        <f t="shared" si="4"/>
        <v>26906</v>
      </c>
      <c r="O17" s="114">
        <f>SUM(O9:O16)</f>
        <v>0</v>
      </c>
      <c r="P17" s="114">
        <f>SUM(P9:P16)</f>
        <v>0</v>
      </c>
      <c r="Q17" s="113">
        <f t="shared" si="5"/>
        <v>26906</v>
      </c>
      <c r="R17" s="113">
        <f t="shared" si="6"/>
        <v>39931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>
        <v>946</v>
      </c>
      <c r="E21" s="243">
        <v>12</v>
      </c>
      <c r="F21" s="243"/>
      <c r="G21" s="113">
        <f t="shared" si="2"/>
        <v>958</v>
      </c>
      <c r="H21" s="103"/>
      <c r="I21" s="103"/>
      <c r="J21" s="113">
        <f t="shared" si="3"/>
        <v>958</v>
      </c>
      <c r="K21" s="103">
        <v>926</v>
      </c>
      <c r="L21" s="103">
        <v>4</v>
      </c>
      <c r="M21" s="103"/>
      <c r="N21" s="113">
        <f t="shared" si="4"/>
        <v>930</v>
      </c>
      <c r="O21" s="103"/>
      <c r="P21" s="103"/>
      <c r="Q21" s="113">
        <f t="shared" si="5"/>
        <v>930</v>
      </c>
      <c r="R21" s="113">
        <f t="shared" si="6"/>
        <v>28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>
        <v>130</v>
      </c>
      <c r="E22" s="243">
        <v>14</v>
      </c>
      <c r="F22" s="243"/>
      <c r="G22" s="113">
        <f t="shared" si="2"/>
        <v>144</v>
      </c>
      <c r="H22" s="103"/>
      <c r="I22" s="103"/>
      <c r="J22" s="113">
        <f t="shared" si="3"/>
        <v>144</v>
      </c>
      <c r="K22" s="103">
        <v>111</v>
      </c>
      <c r="L22" s="103">
        <v>10</v>
      </c>
      <c r="M22" s="103"/>
      <c r="N22" s="113">
        <f t="shared" si="4"/>
        <v>121</v>
      </c>
      <c r="O22" s="103"/>
      <c r="P22" s="103"/>
      <c r="Q22" s="113">
        <f t="shared" si="5"/>
        <v>121</v>
      </c>
      <c r="R22" s="113">
        <f t="shared" si="6"/>
        <v>23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>
        <v>2</v>
      </c>
      <c r="E24" s="243"/>
      <c r="F24" s="243"/>
      <c r="G24" s="113">
        <f t="shared" si="2"/>
        <v>2</v>
      </c>
      <c r="H24" s="103"/>
      <c r="I24" s="103"/>
      <c r="J24" s="113">
        <f t="shared" si="3"/>
        <v>2</v>
      </c>
      <c r="K24" s="103">
        <v>2</v>
      </c>
      <c r="L24" s="103">
        <v>2</v>
      </c>
      <c r="M24" s="103">
        <v>2</v>
      </c>
      <c r="N24" s="113">
        <f t="shared" si="4"/>
        <v>2</v>
      </c>
      <c r="O24" s="103"/>
      <c r="P24" s="103"/>
      <c r="Q24" s="113">
        <f t="shared" si="5"/>
        <v>2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840</v>
      </c>
      <c r="C25" s="468" t="s">
        <v>583</v>
      </c>
      <c r="D25" s="244">
        <f>SUM(D21:D24)</f>
        <v>1078</v>
      </c>
      <c r="E25" s="244">
        <f aca="true" t="shared" si="7" ref="E25:P25">SUM(E21:E24)</f>
        <v>26</v>
      </c>
      <c r="F25" s="244">
        <f t="shared" si="7"/>
        <v>0</v>
      </c>
      <c r="G25" s="105">
        <f t="shared" si="2"/>
        <v>1104</v>
      </c>
      <c r="H25" s="104">
        <f t="shared" si="7"/>
        <v>0</v>
      </c>
      <c r="I25" s="104">
        <f t="shared" si="7"/>
        <v>0</v>
      </c>
      <c r="J25" s="105">
        <f t="shared" si="3"/>
        <v>1104</v>
      </c>
      <c r="K25" s="104">
        <f t="shared" si="7"/>
        <v>1039</v>
      </c>
      <c r="L25" s="104">
        <f t="shared" si="7"/>
        <v>16</v>
      </c>
      <c r="M25" s="104">
        <f t="shared" si="7"/>
        <v>2</v>
      </c>
      <c r="N25" s="105">
        <f t="shared" si="4"/>
        <v>1053</v>
      </c>
      <c r="O25" s="104">
        <f t="shared" si="7"/>
        <v>0</v>
      </c>
      <c r="P25" s="104">
        <f t="shared" si="7"/>
        <v>0</v>
      </c>
      <c r="Q25" s="105">
        <f t="shared" si="5"/>
        <v>1053</v>
      </c>
      <c r="R25" s="105">
        <f t="shared" si="6"/>
        <v>51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856</v>
      </c>
      <c r="C27" s="472" t="s">
        <v>586</v>
      </c>
      <c r="D27" s="246">
        <f>SUM(D28:D31)</f>
        <v>1799</v>
      </c>
      <c r="E27" s="246">
        <f aca="true" t="shared" si="8" ref="E27:P27">SUM(E28:E31)</f>
        <v>3061</v>
      </c>
      <c r="F27" s="246">
        <f t="shared" si="8"/>
        <v>0</v>
      </c>
      <c r="G27" s="110">
        <f t="shared" si="2"/>
        <v>4860</v>
      </c>
      <c r="H27" s="109">
        <f t="shared" si="8"/>
        <v>0</v>
      </c>
      <c r="I27" s="109">
        <f t="shared" si="8"/>
        <v>0</v>
      </c>
      <c r="J27" s="110">
        <f t="shared" si="3"/>
        <v>4860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4860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>
        <v>1799</v>
      </c>
      <c r="E28" s="243">
        <v>3061</v>
      </c>
      <c r="F28" s="243"/>
      <c r="G28" s="113">
        <f t="shared" si="2"/>
        <v>4860</v>
      </c>
      <c r="H28" s="103"/>
      <c r="I28" s="103"/>
      <c r="J28" s="113">
        <f t="shared" si="3"/>
        <v>4860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4860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857</v>
      </c>
      <c r="C38" s="461" t="s">
        <v>602</v>
      </c>
      <c r="D38" s="248">
        <f>D27+D32+D37</f>
        <v>1799</v>
      </c>
      <c r="E38" s="248">
        <f aca="true" t="shared" si="12" ref="E38:P38">E27+E32+E37</f>
        <v>3061</v>
      </c>
      <c r="F38" s="248">
        <f t="shared" si="12"/>
        <v>0</v>
      </c>
      <c r="G38" s="113">
        <f t="shared" si="2"/>
        <v>4860</v>
      </c>
      <c r="H38" s="114">
        <f t="shared" si="12"/>
        <v>0</v>
      </c>
      <c r="I38" s="114">
        <f t="shared" si="12"/>
        <v>0</v>
      </c>
      <c r="J38" s="113">
        <f t="shared" si="3"/>
        <v>4860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4860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6"/>
      <c r="E39" s="596">
        <v>4111</v>
      </c>
      <c r="F39" s="596"/>
      <c r="G39" s="113">
        <f t="shared" si="2"/>
        <v>4111</v>
      </c>
      <c r="H39" s="596"/>
      <c r="I39" s="596"/>
      <c r="J39" s="113">
        <f t="shared" si="3"/>
        <v>4111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4111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57219</v>
      </c>
      <c r="E40" s="547">
        <f>E17+E18+E19+E25+E38+E39</f>
        <v>23438</v>
      </c>
      <c r="F40" s="547">
        <f aca="true" t="shared" si="13" ref="F40:R40">F17+F18+F19+F25+F38+F39</f>
        <v>3745</v>
      </c>
      <c r="G40" s="547">
        <f t="shared" si="13"/>
        <v>76912</v>
      </c>
      <c r="H40" s="547">
        <f t="shared" si="13"/>
        <v>0</v>
      </c>
      <c r="I40" s="547">
        <f t="shared" si="13"/>
        <v>0</v>
      </c>
      <c r="J40" s="547">
        <f t="shared" si="13"/>
        <v>76912</v>
      </c>
      <c r="K40" s="547">
        <f t="shared" si="13"/>
        <v>23759</v>
      </c>
      <c r="L40" s="547">
        <f t="shared" si="13"/>
        <v>4294</v>
      </c>
      <c r="M40" s="547">
        <f t="shared" si="13"/>
        <v>94</v>
      </c>
      <c r="N40" s="547">
        <f t="shared" si="13"/>
        <v>27959</v>
      </c>
      <c r="O40" s="547">
        <f t="shared" si="13"/>
        <v>0</v>
      </c>
      <c r="P40" s="547">
        <f t="shared" si="13"/>
        <v>0</v>
      </c>
      <c r="Q40" s="547">
        <f t="shared" si="13"/>
        <v>27959</v>
      </c>
      <c r="R40" s="547">
        <f t="shared" si="13"/>
        <v>48953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35"/>
      <c r="L44" s="635"/>
      <c r="M44" s="635"/>
      <c r="N44" s="635"/>
      <c r="O44" s="621" t="s">
        <v>784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1" sqref="C91:D9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4" t="s">
        <v>611</v>
      </c>
      <c r="B1" s="604"/>
      <c r="C1" s="604"/>
      <c r="D1" s="604"/>
      <c r="E1" s="60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8" t="str">
        <f>"Име на отчитащото се предприятие:"&amp;"           "&amp;'справка №1-БАЛАНС'!E3</f>
        <v>Име на отчитащото се предприятие:           "МОНБАТ" АД</v>
      </c>
      <c r="B3" s="598"/>
      <c r="C3" s="353" t="s">
        <v>2</v>
      </c>
      <c r="E3" s="353">
        <f>'справка №1-БАЛАНС'!H3</f>
        <v>111028849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599" t="str">
        <f>"Отчетен период:"&amp;"           "&amp;'справка №1-БАЛАНС'!E5</f>
        <v>Отчетен период:           01.01.2007 г.- 31.12.2007 г.</v>
      </c>
      <c r="B4" s="599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8890</v>
      </c>
      <c r="D11" s="165">
        <f>SUM(D12:D14)</f>
        <v>0</v>
      </c>
      <c r="E11" s="166">
        <f>SUM(E12:E14)</f>
        <v>8890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>
        <v>8890</v>
      </c>
      <c r="D12" s="153"/>
      <c r="E12" s="166">
        <f aca="true" t="shared" si="0" ref="E12:E42">C12-D12</f>
        <v>8890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8890</v>
      </c>
      <c r="D19" s="149">
        <f>D11+D15+D16</f>
        <v>0</v>
      </c>
      <c r="E19" s="164">
        <f>E11+E15+E16</f>
        <v>8890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23306</v>
      </c>
      <c r="D28" s="153">
        <v>23306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>
        <v>386</v>
      </c>
      <c r="D29" s="153">
        <v>386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633</v>
      </c>
      <c r="D31" s="153"/>
      <c r="E31" s="166">
        <f t="shared" si="0"/>
        <v>633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440</v>
      </c>
      <c r="D33" s="150">
        <f>SUM(D34:D37)</f>
        <v>440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>
        <v>276</v>
      </c>
      <c r="D35" s="153">
        <v>276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>
        <v>164</v>
      </c>
      <c r="D37" s="153">
        <v>164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934</v>
      </c>
      <c r="D38" s="150">
        <f>SUM(D39:D42)</f>
        <v>934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>
        <v>2</v>
      </c>
      <c r="D40" s="153">
        <v>2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932</v>
      </c>
      <c r="D42" s="153">
        <v>932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25699</v>
      </c>
      <c r="D43" s="149">
        <f>D24+D28+D29+D31+D30+D32+D33+D38</f>
        <v>25066</v>
      </c>
      <c r="E43" s="164">
        <f>E24+E28+E29+E31+E30+E32+E33+E38</f>
        <v>633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34589</v>
      </c>
      <c r="D44" s="148">
        <f>D43+D21+D19+D9</f>
        <v>25066</v>
      </c>
      <c r="E44" s="164">
        <f>E43+E21+E19+E9</f>
        <v>9523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18897</v>
      </c>
      <c r="D56" s="148">
        <f>D57+D59</f>
        <v>0</v>
      </c>
      <c r="E56" s="165">
        <f t="shared" si="1"/>
        <v>18897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>
        <v>18897</v>
      </c>
      <c r="D57" s="153"/>
      <c r="E57" s="165">
        <f t="shared" si="1"/>
        <v>18897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>
        <v>706</v>
      </c>
      <c r="D62" s="153"/>
      <c r="E62" s="165">
        <f t="shared" si="1"/>
        <v>706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19603</v>
      </c>
      <c r="D66" s="148">
        <f>D52+D56+D61+D62+D63+D64</f>
        <v>0</v>
      </c>
      <c r="E66" s="165">
        <f t="shared" si="1"/>
        <v>19603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>
        <v>1816</v>
      </c>
      <c r="D68" s="153"/>
      <c r="E68" s="165">
        <f t="shared" si="1"/>
        <v>1816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5623</v>
      </c>
      <c r="D75" s="148">
        <f>D76+D78</f>
        <v>5623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>
        <v>5623</v>
      </c>
      <c r="D76" s="153">
        <v>5623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13826</v>
      </c>
      <c r="D85" s="149">
        <f>SUM(D86:D90)+D94</f>
        <v>13826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11544</v>
      </c>
      <c r="D87" s="153">
        <v>11544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>
        <v>176</v>
      </c>
      <c r="D88" s="153">
        <v>176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595</v>
      </c>
      <c r="D89" s="153">
        <v>595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1278</v>
      </c>
      <c r="D90" s="148">
        <f>SUM(D91:D93)</f>
        <v>1278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>
        <v>862</v>
      </c>
      <c r="D91" s="153">
        <v>862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416</v>
      </c>
      <c r="D93" s="153">
        <v>416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233</v>
      </c>
      <c r="D94" s="153">
        <v>233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>
        <v>60</v>
      </c>
      <c r="D95" s="153">
        <v>60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19509</v>
      </c>
      <c r="D96" s="149">
        <f>D85+D80+D75+D71+D95</f>
        <v>19509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40928</v>
      </c>
      <c r="D97" s="149">
        <f>D96+D68+D66</f>
        <v>19509</v>
      </c>
      <c r="E97" s="149">
        <f>E96+E68+E66</f>
        <v>21419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782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2" t="s">
        <v>783</v>
      </c>
      <c r="B109" s="602"/>
      <c r="C109" s="602" t="s">
        <v>382</v>
      </c>
      <c r="D109" s="602"/>
      <c r="E109" s="602"/>
      <c r="F109" s="60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784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7" right="0.28" top="0.3" bottom="0.3937007874015748" header="0.16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2" sqref="F2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7"/>
      <c r="C4" s="613" t="str">
        <f>'справка №1-БАЛАНС'!E3</f>
        <v>"МОНБАТ" АД</v>
      </c>
      <c r="D4" s="619"/>
      <c r="E4" s="619"/>
      <c r="F4" s="577"/>
      <c r="G4" s="579" t="s">
        <v>2</v>
      </c>
      <c r="H4" s="579"/>
      <c r="I4" s="588">
        <f>'справка №1-БАЛАНС'!H3</f>
        <v>111028849</v>
      </c>
    </row>
    <row r="5" spans="1:9" ht="15">
      <c r="A5" s="522" t="s">
        <v>5</v>
      </c>
      <c r="B5" s="578"/>
      <c r="C5" s="613" t="str">
        <f>'справка №1-БАЛАНС'!E5</f>
        <v>01.01.2007 г.- 31.12.2007 г.</v>
      </c>
      <c r="D5" s="638"/>
      <c r="E5" s="638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>
        <v>4860296</v>
      </c>
      <c r="D19" s="141"/>
      <c r="E19" s="141"/>
      <c r="F19" s="141">
        <v>4860</v>
      </c>
      <c r="G19" s="141"/>
      <c r="H19" s="141"/>
      <c r="I19" s="541">
        <f t="shared" si="0"/>
        <v>4860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4860296</v>
      </c>
      <c r="D26" s="127">
        <f t="shared" si="2"/>
        <v>0</v>
      </c>
      <c r="E26" s="127">
        <f t="shared" si="2"/>
        <v>0</v>
      </c>
      <c r="F26" s="127">
        <f t="shared" si="2"/>
        <v>4860</v>
      </c>
      <c r="G26" s="127">
        <f t="shared" si="2"/>
        <v>0</v>
      </c>
      <c r="H26" s="127">
        <f t="shared" si="2"/>
        <v>0</v>
      </c>
      <c r="I26" s="541">
        <f t="shared" si="0"/>
        <v>4860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7"/>
      <c r="C30" s="637"/>
      <c r="D30" s="568" t="s">
        <v>822</v>
      </c>
      <c r="E30" s="600"/>
      <c r="F30" s="600"/>
      <c r="G30" s="600"/>
      <c r="H30" s="519" t="s">
        <v>784</v>
      </c>
      <c r="I30" s="600"/>
      <c r="J30" s="600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82" sqref="A82:D8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13" t="str">
        <f>'справка №1-БАЛАНС'!E3</f>
        <v>"МОНБАТ" АД</v>
      </c>
      <c r="C5" s="618"/>
      <c r="D5" s="586"/>
      <c r="E5" s="353" t="s">
        <v>2</v>
      </c>
      <c r="F5" s="589">
        <f>'справка №1-БАЛАНС'!H3</f>
        <v>111028849</v>
      </c>
    </row>
    <row r="6" spans="1:13" ht="15" customHeight="1">
      <c r="A6" s="54" t="s">
        <v>825</v>
      </c>
      <c r="B6" s="613" t="str">
        <f>'справка №1-БАЛАНС'!E5</f>
        <v>01.01.2007 г.- 31.12.2007 г.</v>
      </c>
      <c r="C6" s="638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868</v>
      </c>
      <c r="B12" s="67"/>
      <c r="C12" s="550">
        <v>372</v>
      </c>
      <c r="D12" s="601">
        <v>93</v>
      </c>
      <c r="E12" s="550"/>
      <c r="F12" s="552">
        <f>C12-E12</f>
        <v>372</v>
      </c>
    </row>
    <row r="13" spans="1:6" ht="12.75">
      <c r="A13" s="66" t="s">
        <v>833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834</v>
      </c>
      <c r="C27" s="536">
        <f>SUM(C12:C26)</f>
        <v>372</v>
      </c>
      <c r="D27" s="536"/>
      <c r="E27" s="536">
        <f>SUM(E12:E26)</f>
        <v>0</v>
      </c>
      <c r="F27" s="551">
        <f>SUM(F12:F26)</f>
        <v>372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835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836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837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838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839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840</v>
      </c>
      <c r="B78" s="69" t="s">
        <v>841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842</v>
      </c>
      <c r="B79" s="69" t="s">
        <v>843</v>
      </c>
      <c r="C79" s="536">
        <f>C78+C61+C44+C27</f>
        <v>372</v>
      </c>
      <c r="D79" s="536"/>
      <c r="E79" s="536">
        <f>E78+E61+E44+E27</f>
        <v>0</v>
      </c>
      <c r="F79" s="551">
        <f>F78+F61+F44+F27</f>
        <v>372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844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869</v>
      </c>
      <c r="B82" s="70"/>
      <c r="C82" s="550">
        <v>4469</v>
      </c>
      <c r="D82" s="550">
        <v>100</v>
      </c>
      <c r="E82" s="550"/>
      <c r="F82" s="552">
        <f>C82-E82</f>
        <v>4469</v>
      </c>
    </row>
    <row r="83" spans="1:6" ht="12.75">
      <c r="A83" s="66" t="s">
        <v>870</v>
      </c>
      <c r="B83" s="70"/>
      <c r="C83" s="550">
        <v>19</v>
      </c>
      <c r="D83" s="550">
        <v>100</v>
      </c>
      <c r="E83" s="550"/>
      <c r="F83" s="552">
        <f aca="true" t="shared" si="4" ref="F83:F96">C83-E83</f>
        <v>19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845</v>
      </c>
      <c r="C97" s="536">
        <f>SUM(C82:C96)</f>
        <v>4488</v>
      </c>
      <c r="D97" s="536"/>
      <c r="E97" s="536">
        <f>SUM(E82:E96)</f>
        <v>0</v>
      </c>
      <c r="F97" s="551">
        <f>SUM(F82:F96)</f>
        <v>4488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835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846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837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847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839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840</v>
      </c>
      <c r="B148" s="69" t="s">
        <v>848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849</v>
      </c>
      <c r="B149" s="69" t="s">
        <v>850</v>
      </c>
      <c r="C149" s="536">
        <f>C148+C131+C114+C97</f>
        <v>4488</v>
      </c>
      <c r="D149" s="536"/>
      <c r="E149" s="536">
        <f>E148+E131+E114+E97</f>
        <v>0</v>
      </c>
      <c r="F149" s="551">
        <f>F148+F131+F114+F97</f>
        <v>4488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851</v>
      </c>
      <c r="B151" s="561"/>
      <c r="C151" s="639" t="s">
        <v>852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859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133:F14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2008-03-19T13:02:08Z</cp:lastPrinted>
  <dcterms:created xsi:type="dcterms:W3CDTF">2000-06-29T12:02:40Z</dcterms:created>
  <dcterms:modified xsi:type="dcterms:W3CDTF">2008-03-20T15:05:42Z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