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535" windowHeight="124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<sst xmlns="http://schemas.openxmlformats.org/spreadsheetml/2006/main" count="4306" uniqueCount="1002">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</sst>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FO_SV_062018_sepatar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6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Interim_Cash%20flow%2006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FO_SV_2017_sepatare_fu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SEPARATE\FO_SV_2Q_2017_sepatare_fu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0619_inte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14">
          <cell r="G14">
            <v>82184</v>
          </cell>
        </row>
        <row r="15">
          <cell r="G15">
            <v>11563</v>
          </cell>
        </row>
        <row r="21">
          <cell r="C21">
            <v>-454.29477</v>
          </cell>
        </row>
        <row r="22">
          <cell r="G22">
            <v>1</v>
          </cell>
        </row>
        <row r="25">
          <cell r="C25">
            <v>1752</v>
          </cell>
        </row>
        <row r="27">
          <cell r="C27">
            <v>21</v>
          </cell>
        </row>
        <row r="28">
          <cell r="C28">
            <v>70</v>
          </cell>
        </row>
        <row r="39">
          <cell r="C39">
            <v>2525.0505069877104</v>
          </cell>
        </row>
        <row r="40">
          <cell r="C40">
            <v>-300.63335668553003</v>
          </cell>
        </row>
        <row r="45">
          <cell r="C45">
            <v>93748</v>
          </cell>
          <cell r="G45">
            <v>93748</v>
          </cell>
        </row>
      </sheetData>
      <sheetData sheetId="3">
        <row r="11">
          <cell r="C11">
            <v>93692</v>
          </cell>
        </row>
        <row r="14">
          <cell r="C14">
            <v>-16537</v>
          </cell>
        </row>
        <row r="15">
          <cell r="C15">
            <v>-9553</v>
          </cell>
        </row>
        <row r="16">
          <cell r="C16">
            <v>-2843</v>
          </cell>
        </row>
        <row r="20">
          <cell r="C20">
            <v>-29052</v>
          </cell>
        </row>
        <row r="23">
          <cell r="C23">
            <v>-10124</v>
          </cell>
        </row>
        <row r="37">
          <cell r="C37">
            <v>98320</v>
          </cell>
        </row>
        <row r="38">
          <cell r="C38">
            <v>-110752</v>
          </cell>
        </row>
        <row r="39">
          <cell r="C39">
            <v>-420</v>
          </cell>
        </row>
        <row r="40">
          <cell r="C40">
            <v>-2559</v>
          </cell>
        </row>
        <row r="42">
          <cell r="C42">
            <v>80</v>
          </cell>
        </row>
        <row r="45">
          <cell r="C45">
            <v>25662</v>
          </cell>
        </row>
        <row r="48">
          <cell r="C48">
            <v>775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98487.98348166667</v>
          </cell>
        </row>
        <row r="14">
          <cell r="Q14">
            <v>-17109</v>
          </cell>
        </row>
        <row r="15">
          <cell r="Q15">
            <v>-1180</v>
          </cell>
        </row>
        <row r="16">
          <cell r="Q16">
            <v>-9055</v>
          </cell>
        </row>
        <row r="17">
          <cell r="Q17">
            <v>-972</v>
          </cell>
        </row>
        <row r="18">
          <cell r="Q18">
            <v>0</v>
          </cell>
        </row>
        <row r="19">
          <cell r="Q19">
            <v>-1165</v>
          </cell>
        </row>
        <row r="20">
          <cell r="Q20">
            <v>-135</v>
          </cell>
        </row>
        <row r="21">
          <cell r="Q21">
            <v>-4967</v>
          </cell>
        </row>
        <row r="22">
          <cell r="Q22">
            <v>-3273.294351999998</v>
          </cell>
        </row>
        <row r="30">
          <cell r="Q30">
            <v>-13105.864678000005</v>
          </cell>
        </row>
        <row r="34">
          <cell r="Q34">
            <v>-15894</v>
          </cell>
        </row>
        <row r="36">
          <cell r="Q36">
            <v>-2990</v>
          </cell>
        </row>
        <row r="37">
          <cell r="Q37">
            <v>-9358</v>
          </cell>
        </row>
        <row r="38">
          <cell r="Q38">
            <v>-203</v>
          </cell>
        </row>
        <row r="41">
          <cell r="Q41">
            <v>-474.97898999999995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118</v>
          </cell>
        </row>
        <row r="45">
          <cell r="Q45">
            <v>0</v>
          </cell>
        </row>
        <row r="47">
          <cell r="Q47">
            <v>-599.7036199999999</v>
          </cell>
        </row>
        <row r="49">
          <cell r="Q49">
            <v>-16174.97065</v>
          </cell>
        </row>
        <row r="55">
          <cell r="Q55">
            <v>35815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56">
          <cell r="Q56">
            <v>35914.44009816334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G12">
            <v>8884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3">
        <row r="46">
          <cell r="C46">
            <v>25537.387567999995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290</v>
          </cell>
          <cell r="G13">
            <v>8884</v>
          </cell>
        </row>
        <row r="14">
          <cell r="C14">
            <v>12584</v>
          </cell>
        </row>
        <row r="15">
          <cell r="C15">
            <v>0</v>
          </cell>
        </row>
        <row r="16">
          <cell r="C16">
            <v>6335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777</v>
          </cell>
        </row>
        <row r="21">
          <cell r="G21">
            <v>-348</v>
          </cell>
        </row>
        <row r="23">
          <cell r="G23">
            <v>10774</v>
          </cell>
        </row>
        <row r="25">
          <cell r="C25">
            <v>4529.69844</v>
          </cell>
        </row>
        <row r="26">
          <cell r="C26">
            <v>3.508720000001631</v>
          </cell>
        </row>
        <row r="27">
          <cell r="C27">
            <v>293106.6778700014</v>
          </cell>
        </row>
        <row r="29">
          <cell r="G29">
            <v>215012</v>
          </cell>
        </row>
        <row r="32">
          <cell r="G32">
            <v>31216</v>
          </cell>
        </row>
        <row r="36">
          <cell r="C36">
            <v>5</v>
          </cell>
        </row>
        <row r="45">
          <cell r="G45">
            <v>49835</v>
          </cell>
        </row>
        <row r="49">
          <cell r="G49">
            <v>13939</v>
          </cell>
        </row>
        <row r="51">
          <cell r="C51">
            <v>250</v>
          </cell>
        </row>
        <row r="55">
          <cell r="C55">
            <v>7086</v>
          </cell>
        </row>
        <row r="59">
          <cell r="C59">
            <v>2189</v>
          </cell>
          <cell r="G59">
            <v>25646</v>
          </cell>
        </row>
        <row r="62">
          <cell r="G62">
            <v>3818</v>
          </cell>
        </row>
        <row r="64">
          <cell r="G64">
            <v>23903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C68">
            <v>25</v>
          </cell>
          <cell r="G68">
            <v>1382</v>
          </cell>
        </row>
        <row r="69">
          <cell r="C69">
            <v>35339</v>
          </cell>
          <cell r="G69">
            <v>6855</v>
          </cell>
        </row>
        <row r="70">
          <cell r="G70">
            <v>1835</v>
          </cell>
        </row>
        <row r="73">
          <cell r="C73">
            <v>0</v>
          </cell>
        </row>
        <row r="88">
          <cell r="C88">
            <v>84</v>
          </cell>
        </row>
        <row r="89">
          <cell r="C89">
            <v>35730</v>
          </cell>
        </row>
        <row r="95">
          <cell r="C95">
            <v>398518.8850300014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ContractLiab"/>
      <sheetName val="accrual revenue"/>
      <sheetName val="NoteP&amp;L"/>
      <sheetName val="NoteBS"/>
      <sheetName val="FInst, loans"/>
      <sheetName val="loans_short_long"/>
      <sheetName val="loans"/>
      <sheetName val="WP_2019_Jun"/>
      <sheetName val="PPE note"/>
      <sheetName val="IA note"/>
      <sheetName val="gr50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0">
        <row r="485">
          <cell r="K485">
            <v>31893.66</v>
          </cell>
        </row>
      </sheetData>
      <sheetData sheetId="2">
        <row r="115">
          <cell r="F115">
            <v>3438404.3639877113</v>
          </cell>
        </row>
        <row r="117">
          <cell r="F117">
            <v>-296250.4926855309</v>
          </cell>
        </row>
      </sheetData>
      <sheetData sheetId="5">
        <row r="5">
          <cell r="AK5">
            <v>87971</v>
          </cell>
        </row>
        <row r="6">
          <cell r="AK6">
            <v>1070</v>
          </cell>
        </row>
        <row r="7">
          <cell r="AK7">
            <v>16758</v>
          </cell>
        </row>
        <row r="10">
          <cell r="AK10">
            <v>-5043</v>
          </cell>
          <cell r="AL10">
            <v>-4474</v>
          </cell>
        </row>
        <row r="11">
          <cell r="AK11">
            <v>-14283</v>
          </cell>
          <cell r="AL11">
            <v>-13275</v>
          </cell>
        </row>
        <row r="12">
          <cell r="AK12">
            <v>-22953</v>
          </cell>
          <cell r="AL12">
            <v>-20215</v>
          </cell>
        </row>
        <row r="13">
          <cell r="AK13">
            <v>-12273</v>
          </cell>
          <cell r="AL13">
            <v>-11633</v>
          </cell>
        </row>
        <row r="14">
          <cell r="AK14">
            <v>-3125</v>
          </cell>
          <cell r="AL14">
            <v>-2853</v>
          </cell>
        </row>
        <row r="15">
          <cell r="AK15">
            <v>-5326</v>
          </cell>
          <cell r="AL15">
            <v>-4529</v>
          </cell>
        </row>
        <row r="16">
          <cell r="AK16">
            <v>-1817</v>
          </cell>
          <cell r="AL16">
            <v>-1383</v>
          </cell>
        </row>
        <row r="17">
          <cell r="AK17">
            <v>-16758</v>
          </cell>
          <cell r="AL17">
            <v>-11563</v>
          </cell>
        </row>
        <row r="27">
          <cell r="AK27">
            <v>20344</v>
          </cell>
        </row>
      </sheetData>
      <sheetData sheetId="6">
        <row r="10">
          <cell r="W10">
            <v>5</v>
          </cell>
        </row>
        <row r="11">
          <cell r="W11">
            <v>7383</v>
          </cell>
        </row>
        <row r="12">
          <cell r="W12">
            <v>181</v>
          </cell>
        </row>
        <row r="16">
          <cell r="W16">
            <v>3155</v>
          </cell>
        </row>
        <row r="17">
          <cell r="W17">
            <v>10711</v>
          </cell>
        </row>
        <row r="18">
          <cell r="W18">
            <v>28432</v>
          </cell>
        </row>
        <row r="19">
          <cell r="W19">
            <v>0</v>
          </cell>
        </row>
        <row r="20">
          <cell r="W20">
            <v>43</v>
          </cell>
        </row>
        <row r="24">
          <cell r="W24">
            <v>400865</v>
          </cell>
        </row>
        <row r="28">
          <cell r="W28">
            <v>8884</v>
          </cell>
        </row>
        <row r="29">
          <cell r="W29">
            <v>10774</v>
          </cell>
        </row>
        <row r="33">
          <cell r="I33">
            <v>-348</v>
          </cell>
        </row>
        <row r="35">
          <cell r="W35">
            <v>32253</v>
          </cell>
        </row>
        <row r="36">
          <cell r="W36">
            <v>1082</v>
          </cell>
        </row>
        <row r="37">
          <cell r="W37">
            <v>1400</v>
          </cell>
        </row>
        <row r="38">
          <cell r="W38">
            <v>5567</v>
          </cell>
        </row>
        <row r="39">
          <cell r="W39">
            <v>7283</v>
          </cell>
        </row>
        <row r="44">
          <cell r="W44">
            <v>967</v>
          </cell>
        </row>
        <row r="45">
          <cell r="W45">
            <v>263</v>
          </cell>
        </row>
        <row r="46">
          <cell r="W46">
            <v>4832</v>
          </cell>
        </row>
        <row r="47">
          <cell r="W47">
            <v>628</v>
          </cell>
        </row>
        <row r="48">
          <cell r="W48">
            <v>2965</v>
          </cell>
        </row>
        <row r="50">
          <cell r="W50">
            <v>1850</v>
          </cell>
        </row>
        <row r="51">
          <cell r="W51">
            <v>800</v>
          </cell>
        </row>
        <row r="56">
          <cell r="W56">
            <v>400865</v>
          </cell>
        </row>
      </sheetData>
      <sheetData sheetId="9">
        <row r="75">
          <cell r="C75">
            <v>3930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-661601.36</v>
          </cell>
        </row>
        <row r="85">
          <cell r="C85">
            <v>-21538.699999999997</v>
          </cell>
        </row>
        <row r="86">
          <cell r="C86">
            <v>-19086</v>
          </cell>
        </row>
        <row r="87">
          <cell r="C87">
            <v>0</v>
          </cell>
        </row>
        <row r="88">
          <cell r="C88">
            <v>-5320.644896069076</v>
          </cell>
        </row>
        <row r="89">
          <cell r="C89">
            <v>-29208</v>
          </cell>
        </row>
        <row r="90">
          <cell r="C90">
            <v>-2757.22</v>
          </cell>
        </row>
      </sheetData>
      <sheetData sheetId="10">
        <row r="40">
          <cell r="E40">
            <v>45</v>
          </cell>
        </row>
        <row r="43">
          <cell r="E43">
            <v>37720</v>
          </cell>
        </row>
        <row r="54">
          <cell r="E54">
            <v>14836</v>
          </cell>
        </row>
        <row r="55">
          <cell r="E55">
            <v>2866</v>
          </cell>
        </row>
        <row r="56">
          <cell r="E56">
            <v>4775</v>
          </cell>
        </row>
        <row r="57">
          <cell r="E57">
            <v>0</v>
          </cell>
        </row>
        <row r="59">
          <cell r="G59">
            <v>1016.0769562888472</v>
          </cell>
        </row>
        <row r="62">
          <cell r="E62">
            <v>919</v>
          </cell>
        </row>
        <row r="63">
          <cell r="G63">
            <v>663.4809029053905</v>
          </cell>
        </row>
        <row r="64">
          <cell r="E64">
            <v>1899.44972</v>
          </cell>
        </row>
        <row r="65">
          <cell r="E65">
            <v>1729.94323</v>
          </cell>
        </row>
        <row r="66">
          <cell r="E66">
            <v>270.15533</v>
          </cell>
        </row>
        <row r="67">
          <cell r="E67">
            <v>1502</v>
          </cell>
        </row>
        <row r="108">
          <cell r="C108">
            <v>1835</v>
          </cell>
          <cell r="D108">
            <v>31.89366</v>
          </cell>
          <cell r="E108">
            <v>-16.798659999999998</v>
          </cell>
          <cell r="F108">
            <v>0</v>
          </cell>
        </row>
      </sheetData>
      <sheetData sheetId="12">
        <row r="39">
          <cell r="G39">
            <v>24617118.205162883</v>
          </cell>
        </row>
        <row r="43">
          <cell r="G43">
            <v>56870474.43282854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43646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43675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43466</v>
      </c>
    </row>
    <row r="10" spans="1:2" ht="15.75">
      <c r="A10" s="7" t="s">
        <v>2</v>
      </c>
      <c r="B10" s="575">
        <v>43646</v>
      </c>
    </row>
    <row r="11" spans="1:2" ht="15.75">
      <c r="A11" s="7" t="s">
        <v>977</v>
      </c>
      <c r="B11" s="575">
        <v>43675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1001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992</v>
      </c>
    </row>
    <row r="20" spans="1:2" ht="15.75">
      <c r="A20" s="7" t="s">
        <v>5</v>
      </c>
      <c r="B20" s="574" t="s">
        <v>992</v>
      </c>
    </row>
    <row r="21" spans="1:2" ht="15.75">
      <c r="A21" s="10" t="s">
        <v>6</v>
      </c>
      <c r="B21" s="576" t="s">
        <v>993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970</v>
      </c>
      <c r="B26" s="576" t="s">
        <v>997</v>
      </c>
    </row>
    <row r="27" spans="1:2" ht="15.75">
      <c r="A27" s="10" t="s">
        <v>971</v>
      </c>
      <c r="B27" s="576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01.01.2019 г. до 30.06.2019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400865.3763100014</v>
      </c>
      <c r="D6" s="672">
        <f aca="true" t="shared" si="0" ref="D6:D15">C6-E6</f>
        <v>0.37631000141846016</v>
      </c>
      <c r="E6" s="671">
        <f>'1-Баланс'!G95</f>
        <v>400865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285882</v>
      </c>
      <c r="D7" s="672">
        <f t="shared" si="0"/>
        <v>276998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20344</v>
      </c>
      <c r="D8" s="672">
        <f t="shared" si="0"/>
        <v>0.1538713021800504</v>
      </c>
      <c r="E8" s="671">
        <f>ABS('2-Отчет за доходите'!C44)-ABS('2-Отчет за доходите'!G44)</f>
        <v>20343.84612869782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35814</v>
      </c>
      <c r="D9" s="672">
        <f t="shared" si="0"/>
        <v>-1</v>
      </c>
      <c r="E9" s="671">
        <f>'3-Отчет за паричния поток'!C45</f>
        <v>35815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37764</v>
      </c>
      <c r="D10" s="672">
        <f t="shared" si="0"/>
        <v>0</v>
      </c>
      <c r="E10" s="671">
        <f>'3-Отчет за паричния поток'!C46</f>
        <v>37764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285882</v>
      </c>
      <c r="D11" s="672">
        <f t="shared" si="0"/>
        <v>0</v>
      </c>
      <c r="E11" s="671">
        <f>'4-Отчет за собствения капитал'!L34</f>
        <v>285882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0.19228915207138064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0.07116222777229766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0.17693050276997468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0.050750204937298864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1.2853116610177728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1.1885367518323986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1.1417252737469954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0.560313362414315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0.560313362414315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0.3344403727145052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0.2639265106253088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0.14269777819094542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0.40220440601367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0.2868369452568539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24188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0.08460833490740935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0.4455544738807028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2.4391294202498885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280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11906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6108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749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19228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4377.69844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4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289581.6778700014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293963.3763100014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181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181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7383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320760.3763100014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3155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3155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43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39143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39186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45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37719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37764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80105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400865.3763100014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-348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10426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246228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246228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20344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266572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285882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33335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14250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47585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47585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25584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35323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2965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24036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4775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919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2628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4641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1850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67398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67398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400865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5043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14283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22953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12273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3125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23901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5326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31.89366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81578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702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3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34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739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82317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23486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82317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23486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3142.1538713021805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3438.4043639877113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-296.2504926855309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20343.84612869782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20343.84612869782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105803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89041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16758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105799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105803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105803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105803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98488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-17109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-9561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-2990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-33853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34975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-15894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-15894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-16175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-600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-475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118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-17132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43646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1949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43646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35815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43646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37764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43646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37764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43646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1088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43646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43646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43646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43646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43646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43646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43646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43646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43646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43646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43646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43646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43646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43646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43646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43646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43646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43646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43646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43646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43646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43646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43646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43646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43646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43646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43646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43646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43646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43646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43646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43646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43646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43646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43646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43646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43646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43646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43646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43646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43646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43646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43646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43646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43646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-348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43646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43646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43646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43646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-348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43646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43646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43646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43646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43646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43646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43646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43646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43646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43646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43646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43646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43646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43646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-348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43646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43646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43646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-348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43646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43646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43646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43646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43646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43646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43646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43646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43646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43646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43646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43646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43646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43646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43646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43646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43646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43646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43646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43646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43646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43646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43646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43646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43646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43646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43646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43646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43646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43646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43646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43646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43646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43646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43646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43646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43646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43646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43646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43646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43646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43646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43646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43646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43646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43646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43646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43646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43646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43646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43646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43646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43646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43646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43646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43646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43646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43646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43646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43646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43646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43646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43646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43646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43646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43646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43646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246228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43646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43646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43646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43646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246228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43646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20344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43646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43646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43646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43646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43646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43646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43646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43646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43646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43646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43646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43646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43646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266572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43646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43646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43646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266572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43646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43646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43646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43646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43646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43646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43646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43646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43646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43646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43646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43646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43646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43646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43646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43646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43646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43646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43646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43646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43646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43646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43646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43646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43646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43646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43646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43646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43646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43646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43646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43646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43646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43646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43646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43646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43646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43646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43646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43646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43646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43646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43646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43646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43646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265538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43646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43646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43646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43646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265538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43646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20344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43646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43646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43646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43646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43646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43646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43646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43646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43646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43646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43646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43646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43646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285882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43646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43646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43646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285882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43646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43646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43646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43646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43646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43646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43646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43646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43646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43646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43646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43646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43646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43646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43646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43646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43646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43646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43646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43646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43646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43646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43646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43646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43646</v>
      </c>
      <c r="D463" s="105" t="s">
        <v>529</v>
      </c>
      <c r="E463" s="493">
        <v>1</v>
      </c>
      <c r="F463" s="105" t="s">
        <v>528</v>
      </c>
      <c r="H463" s="105">
        <f>'Справка 6'!D13</f>
        <v>36407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43646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43646</v>
      </c>
      <c r="D465" s="105" t="s">
        <v>535</v>
      </c>
      <c r="E465" s="493">
        <v>1</v>
      </c>
      <c r="F465" s="105" t="s">
        <v>534</v>
      </c>
      <c r="H465" s="105">
        <f>'Справка 6'!D15</f>
        <v>16485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43646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43646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43646</v>
      </c>
      <c r="D468" s="105" t="s">
        <v>543</v>
      </c>
      <c r="E468" s="493">
        <v>1</v>
      </c>
      <c r="F468" s="105" t="s">
        <v>542</v>
      </c>
      <c r="H468" s="105">
        <f>'Справка 6'!D18</f>
        <v>1954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43646</v>
      </c>
      <c r="D469" s="105" t="s">
        <v>545</v>
      </c>
      <c r="E469" s="493">
        <v>1</v>
      </c>
      <c r="F469" s="105" t="s">
        <v>828</v>
      </c>
      <c r="H469" s="105">
        <f>'Справка 6'!D19</f>
        <v>55556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43646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43646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43646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43646</v>
      </c>
      <c r="D473" s="105" t="s">
        <v>555</v>
      </c>
      <c r="E473" s="493">
        <v>1</v>
      </c>
      <c r="F473" s="105" t="s">
        <v>554</v>
      </c>
      <c r="H473" s="105">
        <f>'Справка 6'!D24</f>
        <v>21196.69844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43646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43646</v>
      </c>
      <c r="D475" s="105" t="s">
        <v>558</v>
      </c>
      <c r="E475" s="493">
        <v>1</v>
      </c>
      <c r="F475" s="105" t="s">
        <v>542</v>
      </c>
      <c r="H475" s="105">
        <f>'Справка 6'!D26</f>
        <v>541074.6778700014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43646</v>
      </c>
      <c r="D476" s="105" t="s">
        <v>560</v>
      </c>
      <c r="E476" s="493">
        <v>1</v>
      </c>
      <c r="F476" s="105" t="s">
        <v>863</v>
      </c>
      <c r="H476" s="105">
        <f>'Справка 6'!D27</f>
        <v>583312.3763100014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43646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43646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43646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43646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43646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43646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43646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43646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43646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43646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43646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43646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43646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43646</v>
      </c>
      <c r="D490" s="105" t="s">
        <v>583</v>
      </c>
      <c r="E490" s="493">
        <v>1</v>
      </c>
      <c r="F490" s="105" t="s">
        <v>582</v>
      </c>
      <c r="H490" s="105">
        <f>'Справка 6'!D42</f>
        <v>646261.3763100014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43646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43646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43646</v>
      </c>
      <c r="D493" s="105" t="s">
        <v>529</v>
      </c>
      <c r="E493" s="493">
        <v>2</v>
      </c>
      <c r="F493" s="105" t="s">
        <v>528</v>
      </c>
      <c r="H493" s="105">
        <f>'Справка 6'!E13</f>
        <v>764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43646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43646</v>
      </c>
      <c r="D495" s="105" t="s">
        <v>535</v>
      </c>
      <c r="E495" s="493">
        <v>2</v>
      </c>
      <c r="F495" s="105" t="s">
        <v>534</v>
      </c>
      <c r="H495" s="105">
        <f>'Справка 6'!E15</f>
        <v>572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43646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43646</v>
      </c>
      <c r="D497" s="105" t="s">
        <v>540</v>
      </c>
      <c r="E497" s="493">
        <v>2</v>
      </c>
      <c r="F497" s="105" t="s">
        <v>539</v>
      </c>
      <c r="H497" s="105">
        <f>'Справка 6'!E17</f>
        <v>1354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43646</v>
      </c>
      <c r="D498" s="105" t="s">
        <v>543</v>
      </c>
      <c r="E498" s="493">
        <v>2</v>
      </c>
      <c r="F498" s="105" t="s">
        <v>542</v>
      </c>
      <c r="H498" s="105">
        <f>'Справка 6'!E18</f>
        <v>18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43646</v>
      </c>
      <c r="D499" s="105" t="s">
        <v>545</v>
      </c>
      <c r="E499" s="493">
        <v>2</v>
      </c>
      <c r="F499" s="105" t="s">
        <v>828</v>
      </c>
      <c r="H499" s="105">
        <f>'Справка 6'!E19</f>
        <v>2708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43646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43646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43646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43646</v>
      </c>
      <c r="D503" s="105" t="s">
        <v>555</v>
      </c>
      <c r="E503" s="493">
        <v>2</v>
      </c>
      <c r="F503" s="105" t="s">
        <v>554</v>
      </c>
      <c r="H503" s="105">
        <f>'Справка 6'!E24</f>
        <v>227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43646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43646</v>
      </c>
      <c r="D505" s="105" t="s">
        <v>558</v>
      </c>
      <c r="E505" s="493">
        <v>2</v>
      </c>
      <c r="F505" s="105" t="s">
        <v>542</v>
      </c>
      <c r="H505" s="105">
        <f>'Справка 6'!E26</f>
        <v>32546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43646</v>
      </c>
      <c r="D506" s="105" t="s">
        <v>560</v>
      </c>
      <c r="E506" s="493">
        <v>2</v>
      </c>
      <c r="F506" s="105" t="s">
        <v>863</v>
      </c>
      <c r="H506" s="105">
        <f>'Справка 6'!E27</f>
        <v>32773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43646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43646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43646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43646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43646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43646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43646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43646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43646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43646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43646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43646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43646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43646</v>
      </c>
      <c r="D520" s="105" t="s">
        <v>583</v>
      </c>
      <c r="E520" s="493">
        <v>2</v>
      </c>
      <c r="F520" s="105" t="s">
        <v>582</v>
      </c>
      <c r="H520" s="105">
        <f>'Справка 6'!E42</f>
        <v>35481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43646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43646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43646</v>
      </c>
      <c r="D523" s="105" t="s">
        <v>529</v>
      </c>
      <c r="E523" s="493">
        <v>3</v>
      </c>
      <c r="F523" s="105" t="s">
        <v>528</v>
      </c>
      <c r="H523" s="105">
        <f>'Справка 6'!F13</f>
        <v>92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43646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43646</v>
      </c>
      <c r="D525" s="105" t="s">
        <v>535</v>
      </c>
      <c r="E525" s="493">
        <v>3</v>
      </c>
      <c r="F525" s="105" t="s">
        <v>534</v>
      </c>
      <c r="H525" s="105">
        <f>'Справка 6'!F15</f>
        <v>405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43646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43646</v>
      </c>
      <c r="D527" s="105" t="s">
        <v>540</v>
      </c>
      <c r="E527" s="493">
        <v>3</v>
      </c>
      <c r="F527" s="105" t="s">
        <v>539</v>
      </c>
      <c r="H527" s="105">
        <f>'Справка 6'!F17</f>
        <v>1354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43646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43646</v>
      </c>
      <c r="D529" s="105" t="s">
        <v>545</v>
      </c>
      <c r="E529" s="493">
        <v>3</v>
      </c>
      <c r="F529" s="105" t="s">
        <v>828</v>
      </c>
      <c r="H529" s="105">
        <f>'Справка 6'!F19</f>
        <v>1851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43646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43646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43646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43646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43646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43646</v>
      </c>
      <c r="D535" s="105" t="s">
        <v>558</v>
      </c>
      <c r="E535" s="493">
        <v>3</v>
      </c>
      <c r="F535" s="105" t="s">
        <v>542</v>
      </c>
      <c r="H535" s="105">
        <f>'Справка 6'!F26</f>
        <v>15788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43646</v>
      </c>
      <c r="D536" s="105" t="s">
        <v>560</v>
      </c>
      <c r="E536" s="493">
        <v>3</v>
      </c>
      <c r="F536" s="105" t="s">
        <v>863</v>
      </c>
      <c r="H536" s="105">
        <f>'Справка 6'!F27</f>
        <v>15788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43646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43646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43646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43646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43646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43646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43646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43646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43646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43646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43646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43646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43646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43646</v>
      </c>
      <c r="D550" s="105" t="s">
        <v>583</v>
      </c>
      <c r="E550" s="493">
        <v>3</v>
      </c>
      <c r="F550" s="105" t="s">
        <v>582</v>
      </c>
      <c r="H550" s="105">
        <f>'Справка 6'!F42</f>
        <v>17639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43646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43646</v>
      </c>
      <c r="D552" s="105" t="s">
        <v>526</v>
      </c>
      <c r="E552" s="493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43646</v>
      </c>
      <c r="D553" s="105" t="s">
        <v>529</v>
      </c>
      <c r="E553" s="493">
        <v>4</v>
      </c>
      <c r="F553" s="105" t="s">
        <v>528</v>
      </c>
      <c r="H553" s="105">
        <f>'Справка 6'!G13</f>
        <v>37079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43646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43646</v>
      </c>
      <c r="D555" s="105" t="s">
        <v>535</v>
      </c>
      <c r="E555" s="493">
        <v>4</v>
      </c>
      <c r="F555" s="105" t="s">
        <v>534</v>
      </c>
      <c r="H555" s="105">
        <f>'Справка 6'!G15</f>
        <v>16652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43646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43646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43646</v>
      </c>
      <c r="D558" s="105" t="s">
        <v>543</v>
      </c>
      <c r="E558" s="493">
        <v>4</v>
      </c>
      <c r="F558" s="105" t="s">
        <v>542</v>
      </c>
      <c r="H558" s="105">
        <f>'Справка 6'!G18</f>
        <v>1972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43646</v>
      </c>
      <c r="D559" s="105" t="s">
        <v>545</v>
      </c>
      <c r="E559" s="493">
        <v>4</v>
      </c>
      <c r="F559" s="105" t="s">
        <v>828</v>
      </c>
      <c r="H559" s="105">
        <f>'Справка 6'!G19</f>
        <v>56413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43646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43646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43646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43646</v>
      </c>
      <c r="D563" s="105" t="s">
        <v>555</v>
      </c>
      <c r="E563" s="493">
        <v>4</v>
      </c>
      <c r="F563" s="105" t="s">
        <v>554</v>
      </c>
      <c r="H563" s="105">
        <f>'Справка 6'!G24</f>
        <v>21423.69844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43646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43646</v>
      </c>
      <c r="D565" s="105" t="s">
        <v>558</v>
      </c>
      <c r="E565" s="493">
        <v>4</v>
      </c>
      <c r="F565" s="105" t="s">
        <v>542</v>
      </c>
      <c r="H565" s="105">
        <f>'Справка 6'!G26</f>
        <v>557832.6778700014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43646</v>
      </c>
      <c r="D566" s="105" t="s">
        <v>560</v>
      </c>
      <c r="E566" s="493">
        <v>4</v>
      </c>
      <c r="F566" s="105" t="s">
        <v>863</v>
      </c>
      <c r="H566" s="105">
        <f>'Справка 6'!G27</f>
        <v>600297.3763100014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43646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43646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43646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43646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43646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43646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43646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43646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43646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43646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43646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43646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43646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43646</v>
      </c>
      <c r="D580" s="105" t="s">
        <v>583</v>
      </c>
      <c r="E580" s="493">
        <v>4</v>
      </c>
      <c r="F580" s="105" t="s">
        <v>582</v>
      </c>
      <c r="H580" s="105">
        <f>'Справка 6'!G42</f>
        <v>664103.3763100014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43646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43646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43646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43646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43646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43646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43646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43646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43646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43646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43646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43646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43646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43646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43646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43646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43646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43646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43646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43646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43646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43646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43646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43646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43646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43646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43646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43646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43646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43646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43646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43646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43646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43646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43646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43646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43646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43646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43646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43646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43646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43646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43646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43646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43646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43646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43646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43646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43646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43646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43646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43646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43646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43646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43646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43646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43646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43646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43646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43646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43646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43646</v>
      </c>
      <c r="D642" s="105" t="s">
        <v>526</v>
      </c>
      <c r="E642" s="493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43646</v>
      </c>
      <c r="D643" s="105" t="s">
        <v>529</v>
      </c>
      <c r="E643" s="493">
        <v>7</v>
      </c>
      <c r="F643" s="105" t="s">
        <v>528</v>
      </c>
      <c r="H643" s="105">
        <f>'Справка 6'!J13</f>
        <v>37079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43646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43646</v>
      </c>
      <c r="D645" s="105" t="s">
        <v>535</v>
      </c>
      <c r="E645" s="493">
        <v>7</v>
      </c>
      <c r="F645" s="105" t="s">
        <v>534</v>
      </c>
      <c r="H645" s="105">
        <f>'Справка 6'!J15</f>
        <v>16652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43646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43646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43646</v>
      </c>
      <c r="D648" s="105" t="s">
        <v>543</v>
      </c>
      <c r="E648" s="493">
        <v>7</v>
      </c>
      <c r="F648" s="105" t="s">
        <v>542</v>
      </c>
      <c r="H648" s="105">
        <f>'Справка 6'!J18</f>
        <v>1972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43646</v>
      </c>
      <c r="D649" s="105" t="s">
        <v>545</v>
      </c>
      <c r="E649" s="493">
        <v>7</v>
      </c>
      <c r="F649" s="105" t="s">
        <v>828</v>
      </c>
      <c r="H649" s="105">
        <f>'Справка 6'!J19</f>
        <v>56413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43646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43646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43646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43646</v>
      </c>
      <c r="D653" s="105" t="s">
        <v>555</v>
      </c>
      <c r="E653" s="493">
        <v>7</v>
      </c>
      <c r="F653" s="105" t="s">
        <v>554</v>
      </c>
      <c r="H653" s="105">
        <f>'Справка 6'!J24</f>
        <v>21423.69844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43646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43646</v>
      </c>
      <c r="D655" s="105" t="s">
        <v>558</v>
      </c>
      <c r="E655" s="493">
        <v>7</v>
      </c>
      <c r="F655" s="105" t="s">
        <v>542</v>
      </c>
      <c r="H655" s="105">
        <f>'Справка 6'!J26</f>
        <v>557832.6778700014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43646</v>
      </c>
      <c r="D656" s="105" t="s">
        <v>560</v>
      </c>
      <c r="E656" s="493">
        <v>7</v>
      </c>
      <c r="F656" s="105" t="s">
        <v>863</v>
      </c>
      <c r="H656" s="105">
        <f>'Справка 6'!J27</f>
        <v>600297.3763100014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43646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43646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43646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43646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43646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43646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43646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43646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43646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43646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43646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43646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43646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43646</v>
      </c>
      <c r="D670" s="105" t="s">
        <v>583</v>
      </c>
      <c r="E670" s="493">
        <v>7</v>
      </c>
      <c r="F670" s="105" t="s">
        <v>582</v>
      </c>
      <c r="H670" s="105">
        <f>'Справка 6'!J42</f>
        <v>664103.3763100014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43646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43646</v>
      </c>
      <c r="D672" s="105" t="s">
        <v>526</v>
      </c>
      <c r="E672" s="493">
        <v>8</v>
      </c>
      <c r="F672" s="105" t="s">
        <v>525</v>
      </c>
      <c r="H672" s="105">
        <f>'Справка 6'!K12</f>
        <v>235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43646</v>
      </c>
      <c r="D673" s="105" t="s">
        <v>529</v>
      </c>
      <c r="E673" s="493">
        <v>8</v>
      </c>
      <c r="F673" s="105" t="s">
        <v>528</v>
      </c>
      <c r="H673" s="105">
        <f>'Справка 6'!K13</f>
        <v>23823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43646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43646</v>
      </c>
      <c r="D675" s="105" t="s">
        <v>535</v>
      </c>
      <c r="E675" s="493">
        <v>8</v>
      </c>
      <c r="F675" s="105" t="s">
        <v>534</v>
      </c>
      <c r="H675" s="105">
        <f>'Справка 6'!K15</f>
        <v>10150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43646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43646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43646</v>
      </c>
      <c r="D678" s="105" t="s">
        <v>543</v>
      </c>
      <c r="E678" s="493">
        <v>8</v>
      </c>
      <c r="F678" s="105" t="s">
        <v>542</v>
      </c>
      <c r="H678" s="105">
        <f>'Справка 6'!K18</f>
        <v>1177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43646</v>
      </c>
      <c r="D679" s="105" t="s">
        <v>545</v>
      </c>
      <c r="E679" s="493">
        <v>8</v>
      </c>
      <c r="F679" s="105" t="s">
        <v>828</v>
      </c>
      <c r="H679" s="105">
        <f>'Справка 6'!K19</f>
        <v>35385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43646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43646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43646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43646</v>
      </c>
      <c r="D683" s="105" t="s">
        <v>555</v>
      </c>
      <c r="E683" s="493">
        <v>8</v>
      </c>
      <c r="F683" s="105" t="s">
        <v>554</v>
      </c>
      <c r="H683" s="105">
        <f>'Справка 6'!K24</f>
        <v>16667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43646</v>
      </c>
      <c r="D684" s="105" t="s">
        <v>557</v>
      </c>
      <c r="E684" s="493">
        <v>8</v>
      </c>
      <c r="F684" s="105" t="s">
        <v>556</v>
      </c>
      <c r="H684" s="105">
        <f>'Справка 6'!K25</f>
        <v>21037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43646</v>
      </c>
      <c r="D685" s="105" t="s">
        <v>558</v>
      </c>
      <c r="E685" s="493">
        <v>8</v>
      </c>
      <c r="F685" s="105" t="s">
        <v>542</v>
      </c>
      <c r="H685" s="105">
        <f>'Справка 6'!K26</f>
        <v>247968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43646</v>
      </c>
      <c r="D686" s="105" t="s">
        <v>560</v>
      </c>
      <c r="E686" s="493">
        <v>8</v>
      </c>
      <c r="F686" s="105" t="s">
        <v>863</v>
      </c>
      <c r="H686" s="105">
        <f>'Справка 6'!K27</f>
        <v>285672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43646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43646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43646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43646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43646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43646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43646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43646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43646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43646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43646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43646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43646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43646</v>
      </c>
      <c r="D700" s="105" t="s">
        <v>583</v>
      </c>
      <c r="E700" s="493">
        <v>8</v>
      </c>
      <c r="F700" s="105" t="s">
        <v>582</v>
      </c>
      <c r="H700" s="105">
        <f>'Справка 6'!K42</f>
        <v>328450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43646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43646</v>
      </c>
      <c r="D702" s="105" t="s">
        <v>526</v>
      </c>
      <c r="E702" s="493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43646</v>
      </c>
      <c r="D703" s="105" t="s">
        <v>529</v>
      </c>
      <c r="E703" s="493">
        <v>9</v>
      </c>
      <c r="F703" s="105" t="s">
        <v>528</v>
      </c>
      <c r="H703" s="105">
        <f>'Справка 6'!L13</f>
        <v>1436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43646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43646</v>
      </c>
      <c r="D705" s="105" t="s">
        <v>535</v>
      </c>
      <c r="E705" s="493">
        <v>9</v>
      </c>
      <c r="F705" s="105" t="s">
        <v>534</v>
      </c>
      <c r="H705" s="105">
        <f>'Справка 6'!L15</f>
        <v>798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43646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43646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43646</v>
      </c>
      <c r="D708" s="105" t="s">
        <v>543</v>
      </c>
      <c r="E708" s="493">
        <v>9</v>
      </c>
      <c r="F708" s="105" t="s">
        <v>542</v>
      </c>
      <c r="H708" s="105">
        <f>'Справка 6'!L18</f>
        <v>46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43646</v>
      </c>
      <c r="D709" s="105" t="s">
        <v>545</v>
      </c>
      <c r="E709" s="493">
        <v>9</v>
      </c>
      <c r="F709" s="105" t="s">
        <v>828</v>
      </c>
      <c r="H709" s="105">
        <f>'Справка 6'!L19</f>
        <v>2290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43646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43646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43646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43646</v>
      </c>
      <c r="D713" s="105" t="s">
        <v>555</v>
      </c>
      <c r="E713" s="493">
        <v>9</v>
      </c>
      <c r="F713" s="105" t="s">
        <v>554</v>
      </c>
      <c r="H713" s="105">
        <f>'Справка 6'!L24</f>
        <v>379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43646</v>
      </c>
      <c r="D714" s="105" t="s">
        <v>557</v>
      </c>
      <c r="E714" s="493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43646</v>
      </c>
      <c r="D715" s="105" t="s">
        <v>558</v>
      </c>
      <c r="E715" s="493">
        <v>9</v>
      </c>
      <c r="F715" s="105" t="s">
        <v>542</v>
      </c>
      <c r="H715" s="105">
        <f>'Справка 6'!L26</f>
        <v>20283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43646</v>
      </c>
      <c r="D716" s="105" t="s">
        <v>560</v>
      </c>
      <c r="E716" s="493">
        <v>9</v>
      </c>
      <c r="F716" s="105" t="s">
        <v>863</v>
      </c>
      <c r="H716" s="105">
        <f>'Справка 6'!L27</f>
        <v>20662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43646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43646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43646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43646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43646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43646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43646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43646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43646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43646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43646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43646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43646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43646</v>
      </c>
      <c r="D730" s="105" t="s">
        <v>583</v>
      </c>
      <c r="E730" s="493">
        <v>9</v>
      </c>
      <c r="F730" s="105" t="s">
        <v>582</v>
      </c>
      <c r="H730" s="105">
        <f>'Справка 6'!L42</f>
        <v>22952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43646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43646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43646</v>
      </c>
      <c r="D733" s="105" t="s">
        <v>529</v>
      </c>
      <c r="E733" s="493">
        <v>10</v>
      </c>
      <c r="F733" s="105" t="s">
        <v>528</v>
      </c>
      <c r="H733" s="105">
        <f>'Справка 6'!M13</f>
        <v>86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43646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43646</v>
      </c>
      <c r="D735" s="105" t="s">
        <v>535</v>
      </c>
      <c r="E735" s="493">
        <v>10</v>
      </c>
      <c r="F735" s="105" t="s">
        <v>534</v>
      </c>
      <c r="H735" s="105">
        <f>'Справка 6'!M15</f>
        <v>404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43646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43646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43646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43646</v>
      </c>
      <c r="D739" s="105" t="s">
        <v>545</v>
      </c>
      <c r="E739" s="493">
        <v>10</v>
      </c>
      <c r="F739" s="105" t="s">
        <v>828</v>
      </c>
      <c r="H739" s="105">
        <f>'Справка 6'!M19</f>
        <v>490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43646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43646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43646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43646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43646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43646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43646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43646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43646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43646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43646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43646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43646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43646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43646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43646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43646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43646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43646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43646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43646</v>
      </c>
      <c r="D760" s="105" t="s">
        <v>583</v>
      </c>
      <c r="E760" s="493">
        <v>10</v>
      </c>
      <c r="F760" s="105" t="s">
        <v>582</v>
      </c>
      <c r="H760" s="105">
        <f>'Справка 6'!M42</f>
        <v>490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43646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43646</v>
      </c>
      <c r="D762" s="105" t="s">
        <v>526</v>
      </c>
      <c r="E762" s="493">
        <v>11</v>
      </c>
      <c r="F762" s="105" t="s">
        <v>525</v>
      </c>
      <c r="H762" s="105">
        <f>'Справка 6'!N12</f>
        <v>245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43646</v>
      </c>
      <c r="D763" s="105" t="s">
        <v>529</v>
      </c>
      <c r="E763" s="493">
        <v>11</v>
      </c>
      <c r="F763" s="105" t="s">
        <v>528</v>
      </c>
      <c r="H763" s="105">
        <f>'Справка 6'!N13</f>
        <v>25173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43646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43646</v>
      </c>
      <c r="D765" s="105" t="s">
        <v>535</v>
      </c>
      <c r="E765" s="493">
        <v>11</v>
      </c>
      <c r="F765" s="105" t="s">
        <v>534</v>
      </c>
      <c r="H765" s="105">
        <f>'Справка 6'!N15</f>
        <v>10544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43646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43646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43646</v>
      </c>
      <c r="D768" s="105" t="s">
        <v>543</v>
      </c>
      <c r="E768" s="493">
        <v>11</v>
      </c>
      <c r="F768" s="105" t="s">
        <v>542</v>
      </c>
      <c r="H768" s="105">
        <f>'Справка 6'!N18</f>
        <v>1223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43646</v>
      </c>
      <c r="D769" s="105" t="s">
        <v>545</v>
      </c>
      <c r="E769" s="493">
        <v>11</v>
      </c>
      <c r="F769" s="105" t="s">
        <v>828</v>
      </c>
      <c r="H769" s="105">
        <f>'Справка 6'!N19</f>
        <v>37185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43646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43646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43646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43646</v>
      </c>
      <c r="D773" s="105" t="s">
        <v>555</v>
      </c>
      <c r="E773" s="493">
        <v>11</v>
      </c>
      <c r="F773" s="105" t="s">
        <v>554</v>
      </c>
      <c r="H773" s="105">
        <f>'Справка 6'!N24</f>
        <v>17046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43646</v>
      </c>
      <c r="D774" s="105" t="s">
        <v>557</v>
      </c>
      <c r="E774" s="493">
        <v>11</v>
      </c>
      <c r="F774" s="105" t="s">
        <v>556</v>
      </c>
      <c r="H774" s="105">
        <f>'Справка 6'!N25</f>
        <v>21037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43646</v>
      </c>
      <c r="D775" s="105" t="s">
        <v>558</v>
      </c>
      <c r="E775" s="493">
        <v>11</v>
      </c>
      <c r="F775" s="105" t="s">
        <v>542</v>
      </c>
      <c r="H775" s="105">
        <f>'Справка 6'!N26</f>
        <v>268251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43646</v>
      </c>
      <c r="D776" s="105" t="s">
        <v>560</v>
      </c>
      <c r="E776" s="493">
        <v>11</v>
      </c>
      <c r="F776" s="105" t="s">
        <v>863</v>
      </c>
      <c r="H776" s="105">
        <f>'Справка 6'!N27</f>
        <v>306334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43646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43646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43646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43646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43646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43646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43646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43646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43646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43646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43646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43646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43646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43646</v>
      </c>
      <c r="D790" s="105" t="s">
        <v>583</v>
      </c>
      <c r="E790" s="493">
        <v>11</v>
      </c>
      <c r="F790" s="105" t="s">
        <v>582</v>
      </c>
      <c r="H790" s="105">
        <f>'Справка 6'!N42</f>
        <v>350912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43646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43646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43646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43646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43646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43646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43646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43646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43646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43646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43646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43646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43646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43646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43646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43646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43646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43646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43646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43646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43646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43646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43646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43646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43646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43646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43646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43646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43646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43646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43646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43646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43646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43646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43646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43646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43646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43646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43646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43646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43646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43646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43646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43646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43646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43646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43646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43646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43646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43646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43646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43646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43646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43646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43646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43646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43646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43646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43646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43646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43646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43646</v>
      </c>
      <c r="D852" s="105" t="s">
        <v>526</v>
      </c>
      <c r="E852" s="493">
        <v>14</v>
      </c>
      <c r="F852" s="105" t="s">
        <v>525</v>
      </c>
      <c r="H852" s="105">
        <f>'Справка 6'!Q12</f>
        <v>245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43646</v>
      </c>
      <c r="D853" s="105" t="s">
        <v>529</v>
      </c>
      <c r="E853" s="493">
        <v>14</v>
      </c>
      <c r="F853" s="105" t="s">
        <v>528</v>
      </c>
      <c r="H853" s="105">
        <f>'Справка 6'!Q13</f>
        <v>25173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43646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43646</v>
      </c>
      <c r="D855" s="105" t="s">
        <v>535</v>
      </c>
      <c r="E855" s="493">
        <v>14</v>
      </c>
      <c r="F855" s="105" t="s">
        <v>534</v>
      </c>
      <c r="H855" s="105">
        <f>'Справка 6'!Q15</f>
        <v>10544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43646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43646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43646</v>
      </c>
      <c r="D858" s="105" t="s">
        <v>543</v>
      </c>
      <c r="E858" s="493">
        <v>14</v>
      </c>
      <c r="F858" s="105" t="s">
        <v>542</v>
      </c>
      <c r="H858" s="105">
        <f>'Справка 6'!Q18</f>
        <v>1223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43646</v>
      </c>
      <c r="D859" s="105" t="s">
        <v>545</v>
      </c>
      <c r="E859" s="493">
        <v>14</v>
      </c>
      <c r="F859" s="105" t="s">
        <v>828</v>
      </c>
      <c r="H859" s="105">
        <f>'Справка 6'!Q19</f>
        <v>37185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43646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43646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43646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43646</v>
      </c>
      <c r="D863" s="105" t="s">
        <v>555</v>
      </c>
      <c r="E863" s="493">
        <v>14</v>
      </c>
      <c r="F863" s="105" t="s">
        <v>554</v>
      </c>
      <c r="H863" s="105">
        <f>'Справка 6'!Q24</f>
        <v>17046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43646</v>
      </c>
      <c r="D864" s="105" t="s">
        <v>557</v>
      </c>
      <c r="E864" s="493">
        <v>14</v>
      </c>
      <c r="F864" s="105" t="s">
        <v>556</v>
      </c>
      <c r="H864" s="105">
        <f>'Справка 6'!Q25</f>
        <v>21037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43646</v>
      </c>
      <c r="D865" s="105" t="s">
        <v>558</v>
      </c>
      <c r="E865" s="493">
        <v>14</v>
      </c>
      <c r="F865" s="105" t="s">
        <v>542</v>
      </c>
      <c r="H865" s="105">
        <f>'Справка 6'!Q26</f>
        <v>268251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43646</v>
      </c>
      <c r="D866" s="105" t="s">
        <v>560</v>
      </c>
      <c r="E866" s="493">
        <v>14</v>
      </c>
      <c r="F866" s="105" t="s">
        <v>863</v>
      </c>
      <c r="H866" s="105">
        <f>'Справка 6'!Q27</f>
        <v>306334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43646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43646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43646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43646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43646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43646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43646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43646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43646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43646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43646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43646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43646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43646</v>
      </c>
      <c r="D880" s="105" t="s">
        <v>583</v>
      </c>
      <c r="E880" s="493">
        <v>14</v>
      </c>
      <c r="F880" s="105" t="s">
        <v>582</v>
      </c>
      <c r="H880" s="105">
        <f>'Справка 6'!Q42</f>
        <v>350912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43646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43646</v>
      </c>
      <c r="D882" s="105" t="s">
        <v>526</v>
      </c>
      <c r="E882" s="493">
        <v>15</v>
      </c>
      <c r="F882" s="105" t="s">
        <v>525</v>
      </c>
      <c r="H882" s="105">
        <f>'Справка 6'!R12</f>
        <v>280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43646</v>
      </c>
      <c r="D883" s="105" t="s">
        <v>529</v>
      </c>
      <c r="E883" s="493">
        <v>15</v>
      </c>
      <c r="F883" s="105" t="s">
        <v>528</v>
      </c>
      <c r="H883" s="105">
        <f>'Справка 6'!R13</f>
        <v>11906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43646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43646</v>
      </c>
      <c r="D885" s="105" t="s">
        <v>535</v>
      </c>
      <c r="E885" s="493">
        <v>15</v>
      </c>
      <c r="F885" s="105" t="s">
        <v>534</v>
      </c>
      <c r="H885" s="105">
        <f>'Справка 6'!R15</f>
        <v>6108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43646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43646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43646</v>
      </c>
      <c r="D888" s="105" t="s">
        <v>543</v>
      </c>
      <c r="E888" s="493">
        <v>15</v>
      </c>
      <c r="F888" s="105" t="s">
        <v>542</v>
      </c>
      <c r="H888" s="105">
        <f>'Справка 6'!R18</f>
        <v>749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43646</v>
      </c>
      <c r="D889" s="105" t="s">
        <v>545</v>
      </c>
      <c r="E889" s="493">
        <v>15</v>
      </c>
      <c r="F889" s="105" t="s">
        <v>828</v>
      </c>
      <c r="H889" s="105">
        <f>'Справка 6'!R19</f>
        <v>19228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43646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43646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43646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43646</v>
      </c>
      <c r="D893" s="105" t="s">
        <v>555</v>
      </c>
      <c r="E893" s="493">
        <v>15</v>
      </c>
      <c r="F893" s="105" t="s">
        <v>554</v>
      </c>
      <c r="H893" s="105">
        <f>'Справка 6'!R24</f>
        <v>4377.69844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43646</v>
      </c>
      <c r="D894" s="105" t="s">
        <v>557</v>
      </c>
      <c r="E894" s="493">
        <v>15</v>
      </c>
      <c r="F894" s="105" t="s">
        <v>556</v>
      </c>
      <c r="H894" s="105">
        <f>'Справка 6'!R25</f>
        <v>4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43646</v>
      </c>
      <c r="D895" s="105" t="s">
        <v>558</v>
      </c>
      <c r="E895" s="493">
        <v>15</v>
      </c>
      <c r="F895" s="105" t="s">
        <v>542</v>
      </c>
      <c r="H895" s="105">
        <f>'Справка 6'!R26</f>
        <v>289581.6778700014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43646</v>
      </c>
      <c r="D896" s="105" t="s">
        <v>560</v>
      </c>
      <c r="E896" s="493">
        <v>15</v>
      </c>
      <c r="F896" s="105" t="s">
        <v>863</v>
      </c>
      <c r="H896" s="105">
        <f>'Справка 6'!R27</f>
        <v>293963.3763100014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43646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43646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43646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43646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43646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43646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43646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43646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43646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43646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43646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43646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43646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43646</v>
      </c>
      <c r="D910" s="105" t="s">
        <v>583</v>
      </c>
      <c r="E910" s="493">
        <v>15</v>
      </c>
      <c r="F910" s="105" t="s">
        <v>582</v>
      </c>
      <c r="H910" s="105">
        <f>'Справка 6'!R42</f>
        <v>313191.3763100014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43646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43646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43646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43646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43646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43646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43646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181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43646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43646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181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43646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181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43646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7383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43646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43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43646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43646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43646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43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43646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39143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43646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43646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43646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43646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43646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43646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43646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43646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43646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43646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43646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43646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43646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43646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43646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39186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43646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46750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43646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43646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43646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43646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43646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43646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43646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43646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43646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43646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43646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43646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43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43646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43646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43646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43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43646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39143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43646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43646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43646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43646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43646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43646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43646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43646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43646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43646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43646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43646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43646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43646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43646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39186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43646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39186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43646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43646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43646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43646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43646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43646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43646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181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43646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43646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181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43646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181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43646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7383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43646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43646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43646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43646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43646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43646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43646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43646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43646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43646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43646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43646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43646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43646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43646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43646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43646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43646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43646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43646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43646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7564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43646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43646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43646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43646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43646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56870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43646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56870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43646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43646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43646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43646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43646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43646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43646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16299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43646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2049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43646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73169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43646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43646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2965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43646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43646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43646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2965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43646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43646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43646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43646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43646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43646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43646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43646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43646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43646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43646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32358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43646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43646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24036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43646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43646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4775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43646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2628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43646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2628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43646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43646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43646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919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43646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4641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43646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39964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43646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113133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43646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43646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43646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43646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43646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24617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43646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24617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43646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43646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43646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43646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43646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43646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43646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967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43646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967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43646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25584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43646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43646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2965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43646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43646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43646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2965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43646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43646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43646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43646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43646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43646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43646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43646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43646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43646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43646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32358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43646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43646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24036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43646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43646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4775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43646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2628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43646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2628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43646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43646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43646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919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43646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4641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43646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39964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43646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65548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43646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43646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43646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43646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43646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32253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43646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32253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43646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43646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43646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43646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43646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43646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43646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15332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43646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1082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43646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47585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43646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43646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43646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43646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43646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43646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43646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43646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43646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43646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43646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43646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43646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43646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43646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43646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43646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43646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43646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43646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43646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43646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43646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43646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43646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43646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43646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43646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47585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43646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43646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43646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43646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43646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43646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43646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43646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43646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43646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43646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43646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43646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43646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43646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43646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43646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43646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43646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43646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43646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43646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43646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43646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43646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43646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43646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43646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43646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43646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43646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43646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43646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43646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43646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43646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43646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43646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43646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43646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43646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43646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43646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43646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1835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43646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43646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43646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1835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43646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32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43646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43646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43646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32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43646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17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43646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43646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43646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17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43646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1850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43646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43646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43646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1850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43646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43646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43646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43646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43646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43646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43646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43646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43646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43646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43646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43646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43646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43646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43646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43646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43646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43646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43646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43646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43646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43646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43646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43646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43646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43646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43646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43646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43646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43646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43646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43646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43646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43646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43646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43646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43646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43646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43646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43646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43646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43646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43646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43646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43646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43646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43646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43646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43646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43646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43646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43646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43646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43646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43646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43646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43646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43646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43646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43646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43646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43646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43646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43646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43646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43646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43646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43646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43646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43646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43646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43646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43646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43646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43646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43646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43646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43646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43646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43646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43646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43646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43646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43646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43646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43646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43646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43646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43646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43646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43646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43646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43646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43646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43646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43646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43646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43646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43646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43646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43646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43646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43646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43646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43646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43646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43646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43646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43646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43646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43646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43646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43646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43646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43646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43646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43646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43646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43646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43646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43646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43646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43646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43646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43646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43646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43646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43646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43646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43646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43646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43646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43646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43646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'[8]1-Баланс'!$C$12</f>
        <v>185</v>
      </c>
      <c r="E12" s="89" t="s">
        <v>25</v>
      </c>
      <c r="F12" s="93" t="s">
        <v>26</v>
      </c>
      <c r="G12" s="197">
        <f>'[9]BS_KPMG'!$W$28</f>
        <v>8884</v>
      </c>
      <c r="H12" s="196">
        <f>'[5]1-Баланс'!G12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280</v>
      </c>
      <c r="D13" s="196">
        <f>'[8]1-Баланс'!C13</f>
        <v>290</v>
      </c>
      <c r="E13" s="89" t="s">
        <v>846</v>
      </c>
      <c r="F13" s="93" t="s">
        <v>29</v>
      </c>
      <c r="G13" s="197">
        <f>G12</f>
        <v>8884</v>
      </c>
      <c r="H13" s="196">
        <f>'[8]1-Баланс'!G13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11906</v>
      </c>
      <c r="D14" s="196">
        <f>'[8]1-Баланс'!C14</f>
        <v>12584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'[8]1-Баланс'!C15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6108</v>
      </c>
      <c r="D16" s="196">
        <f>'[8]1-Баланс'!C16</f>
        <v>6335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'[8]1-Баланс'!C17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'[8]1-Баланс'!C18</f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749</v>
      </c>
      <c r="D19" s="196">
        <f>'[8]1-Баланс'!C19</f>
        <v>777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19228</v>
      </c>
      <c r="D20" s="595">
        <f>SUM(D12:D19)</f>
        <v>20171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'[9]BS_KPMG'!$I$33</f>
        <v>-348</v>
      </c>
      <c r="H21" s="196">
        <f>'[8]1-Баланс'!$G$21</f>
        <v>-348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'[9]BS_KPMG'!$W$29</f>
        <v>10774</v>
      </c>
      <c r="H23" s="196">
        <f>'[8]1-Баланс'!$G$23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>
        <f>'[8]1-Баланс'!C24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4377.69844</v>
      </c>
      <c r="D25" s="196">
        <f>'[8]1-Баланс'!C25</f>
        <v>4529.69844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4</v>
      </c>
      <c r="D26" s="196">
        <f>'[8]1-Баланс'!C26</f>
        <v>3.508720000001631</v>
      </c>
      <c r="E26" s="481" t="s">
        <v>77</v>
      </c>
      <c r="F26" s="95" t="s">
        <v>78</v>
      </c>
      <c r="G26" s="594">
        <f>G20+G21+G22</f>
        <v>10426</v>
      </c>
      <c r="H26" s="595">
        <f>H20+H21+H22</f>
        <v>10426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289581.6778700014</v>
      </c>
      <c r="D27" s="196">
        <f>'[8]1-Баланс'!C27</f>
        <v>293106.6778700014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293963.3763100014</v>
      </c>
      <c r="D28" s="595">
        <f>SUM(D24:D27)</f>
        <v>297639.8850300014</v>
      </c>
      <c r="E28" s="202" t="s">
        <v>84</v>
      </c>
      <c r="F28" s="93" t="s">
        <v>85</v>
      </c>
      <c r="G28" s="592">
        <f>SUM(G29:G31)</f>
        <v>246228</v>
      </c>
      <c r="H28" s="593">
        <f>SUM(H29:H31)</f>
        <v>215012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H34</f>
        <v>246228</v>
      </c>
      <c r="H29" s="196">
        <f>'[8]1-Баланс'!G29</f>
        <v>215012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'[9]PL_KPMG'!$AK$27</f>
        <v>20344</v>
      </c>
      <c r="H32" s="196">
        <f>'[8]1-Баланс'!G32</f>
        <v>31216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266572</v>
      </c>
      <c r="H34" s="595">
        <f>H28+H32+H33</f>
        <v>246228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'[9]BS_KPMG'!$W$10</f>
        <v>5</v>
      </c>
      <c r="D36" s="196">
        <f>'[8]1-Баланс'!$C$36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285882</v>
      </c>
      <c r="H37" s="597">
        <f>H26+H18+H34</f>
        <v>265538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'[9]BS_KPMG'!$W$35+'[9]BS_KPMG'!$W$36</f>
        <v>33335</v>
      </c>
      <c r="H45" s="196">
        <f>'[8]1-Баланс'!G45</f>
        <v>49835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SUM('[9]BS_KPMG'!$W$37:$W$39)</f>
        <v>14250</v>
      </c>
      <c r="H49" s="196">
        <f>'[8]1-Баланс'!G49</f>
        <v>13939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47585</v>
      </c>
      <c r="H50" s="593">
        <f>SUM(H44:H49)</f>
        <v>63774</v>
      </c>
    </row>
    <row r="51" spans="1:8" ht="15.75">
      <c r="A51" s="89" t="s">
        <v>79</v>
      </c>
      <c r="B51" s="91" t="s">
        <v>155</v>
      </c>
      <c r="C51" s="197">
        <f>'[9]BS_KPMG'!$W$12</f>
        <v>181</v>
      </c>
      <c r="D51" s="196">
        <f>'[8]1-Баланс'!$C$51</f>
        <v>250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181</v>
      </c>
      <c r="D52" s="595">
        <f>SUM(D48:D51)</f>
        <v>250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'[9]BS_KPMG'!$W$11</f>
        <v>7383</v>
      </c>
      <c r="D55" s="476">
        <f>'[8]1-Баланс'!$C$55</f>
        <v>7086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320760.3763100014</v>
      </c>
      <c r="D56" s="599">
        <f>D20+D21+D22+D28+D33+D46+D52+D54+D55</f>
        <v>325151.8850300014</v>
      </c>
      <c r="E56" s="100" t="s">
        <v>850</v>
      </c>
      <c r="F56" s="99" t="s">
        <v>172</v>
      </c>
      <c r="G56" s="596">
        <f>G50+G52+G53+G54+G55</f>
        <v>47585</v>
      </c>
      <c r="H56" s="597">
        <f>H50+H52+H53+H54+H55</f>
        <v>63774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'[9]BS_KPMG'!$W$16</f>
        <v>3155</v>
      </c>
      <c r="D59" s="196">
        <f>'[8]1-Баланс'!$C$59</f>
        <v>2189</v>
      </c>
      <c r="E59" s="201" t="s">
        <v>180</v>
      </c>
      <c r="F59" s="483" t="s">
        <v>181</v>
      </c>
      <c r="G59" s="197">
        <f>ROUND('[9]BS_KPMG'!$W$44+'[9]loans_short_long'!$G$39/1000,0)</f>
        <v>25584</v>
      </c>
      <c r="H59" s="196">
        <f>'[8]1-Баланс'!$G$59</f>
        <v>25646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35323</v>
      </c>
      <c r="H61" s="593">
        <f>SUM(H62:H68)</f>
        <v>34871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ROUND('[9]BS_KPMG'!$W$48,0)</f>
        <v>2965</v>
      </c>
      <c r="H62" s="196">
        <f>'[8]1-Баланс'!G62</f>
        <v>3818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'[8]1-Баланс'!G63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ROUND('[9]NoteBS'!$E$54+'[9]NoteBS'!$E$55+'[9]NoteBS'!$E$57+'[9]NoteBS'!$E$67+'[9]BS_KPMG'!$W$46,0)</f>
        <v>24036</v>
      </c>
      <c r="H64" s="196">
        <f>'[8]1-Баланс'!G64</f>
        <v>23903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3155</v>
      </c>
      <c r="D65" s="595">
        <f>SUM(D59:D64)</f>
        <v>2189</v>
      </c>
      <c r="E65" s="89" t="s">
        <v>201</v>
      </c>
      <c r="F65" s="93" t="s">
        <v>202</v>
      </c>
      <c r="G65" s="197"/>
      <c r="H65" s="196">
        <f>'[8]1-Баланс'!G65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ROUND('[9]NoteBS'!$E$56,0)</f>
        <v>4775</v>
      </c>
      <c r="H66" s="196">
        <f>'[8]1-Баланс'!G66</f>
        <v>4866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ROUND('[9]NoteBS'!$E$62,0)</f>
        <v>919</v>
      </c>
      <c r="H67" s="196">
        <f>'[8]1-Баланс'!G67</f>
        <v>902</v>
      </c>
    </row>
    <row r="68" spans="1:8" ht="15.75">
      <c r="A68" s="89" t="s">
        <v>206</v>
      </c>
      <c r="B68" s="91" t="s">
        <v>207</v>
      </c>
      <c r="C68" s="197">
        <f>'[9]BS_KPMG'!$W$20</f>
        <v>43</v>
      </c>
      <c r="D68" s="196">
        <f>'[8]1-Баланс'!C68</f>
        <v>25</v>
      </c>
      <c r="E68" s="89" t="s">
        <v>212</v>
      </c>
      <c r="F68" s="93" t="s">
        <v>213</v>
      </c>
      <c r="G68" s="197">
        <f>ROUND('[9]BS_KPMG'!$W$47+'[9]NoteBS'!$E$65+'[9]NoteBS'!$E$66,0)</f>
        <v>2628</v>
      </c>
      <c r="H68" s="196">
        <f>'[8]1-Баланс'!G68</f>
        <v>1382</v>
      </c>
    </row>
    <row r="69" spans="1:8" ht="15.75">
      <c r="A69" s="89" t="s">
        <v>210</v>
      </c>
      <c r="B69" s="91" t="s">
        <v>211</v>
      </c>
      <c r="C69" s="197">
        <f>'[9]BS_KPMG'!$W$17+'[9]BS_KPMG'!$W$18</f>
        <v>39143</v>
      </c>
      <c r="D69" s="196">
        <f>'[8]1-Баланс'!C69</f>
        <v>35339</v>
      </c>
      <c r="E69" s="201" t="s">
        <v>79</v>
      </c>
      <c r="F69" s="93" t="s">
        <v>216</v>
      </c>
      <c r="G69" s="197">
        <f>ROUND('[9]NoteBS'!$G$63+'[9]NoteBS'!$E$64+'[9]BS_KPMG'!$W$45+'[9]BS_KPMG'!$W$51+'[9]NoteBS'!$G$59,0)-1</f>
        <v>4641</v>
      </c>
      <c r="H69" s="196">
        <f>'[8]1-Баланс'!G69</f>
        <v>6855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ROUND('[9]BS_KPMG'!$W$50,0)</f>
        <v>1850</v>
      </c>
      <c r="H70" s="196">
        <f>'[8]1-Баланс'!G70</f>
        <v>1835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67398</v>
      </c>
      <c r="H71" s="595">
        <f>H59+H60+H61+H69+H70</f>
        <v>69207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'[9]BS_KPMG'!$W$19</f>
        <v>0</v>
      </c>
      <c r="D73" s="196">
        <f>'[8]1-Баланс'!C73</f>
        <v>0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39186</v>
      </c>
      <c r="D76" s="595">
        <f>SUM(D68:D75)</f>
        <v>35364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67398</v>
      </c>
      <c r="H79" s="597">
        <f>H71+H73+H75+H77</f>
        <v>69207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'[9]NoteBS'!$E$40</f>
        <v>45</v>
      </c>
      <c r="D88" s="196">
        <f>'[8]1-Баланс'!C88</f>
        <v>84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'[9]NoteBS'!$E$43-1</f>
        <v>37719</v>
      </c>
      <c r="D89" s="196">
        <f>'[8]1-Баланс'!C89</f>
        <v>35730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'[8]1-Баланс'!C90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'[8]1-Баланс'!C91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37764</v>
      </c>
      <c r="D92" s="595">
        <f>SUM(D88:D91)</f>
        <v>35814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80105</v>
      </c>
      <c r="D94" s="599">
        <f>D65+D76+D85+D92+D93</f>
        <v>73367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400865.3763100014</v>
      </c>
      <c r="D95" s="601">
        <f>D94+D56</f>
        <v>398518.8850300014</v>
      </c>
      <c r="E95" s="229" t="s">
        <v>942</v>
      </c>
      <c r="F95" s="486" t="s">
        <v>268</v>
      </c>
      <c r="G95" s="600">
        <f>G37+G40+G56+G79</f>
        <v>400865</v>
      </c>
      <c r="H95" s="601">
        <f>H37+H40+H56+H79</f>
        <v>398519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43675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9"/>
      <c r="D103" s="709"/>
      <c r="E103" s="709"/>
      <c r="M103" s="98"/>
    </row>
    <row r="104" spans="1:5" ht="21.75" customHeight="1">
      <c r="A104" s="693"/>
      <c r="B104" s="709" t="s">
        <v>979</v>
      </c>
      <c r="C104" s="709"/>
      <c r="D104" s="709"/>
      <c r="E104" s="709"/>
    </row>
    <row r="105" spans="1:13" ht="21.75" customHeight="1">
      <c r="A105" s="693"/>
      <c r="B105" s="709" t="s">
        <v>979</v>
      </c>
      <c r="C105" s="709"/>
      <c r="D105" s="709"/>
      <c r="E105" s="709"/>
      <c r="M105" s="98"/>
    </row>
    <row r="106" spans="1:5" ht="21.75" customHeight="1">
      <c r="A106" s="693"/>
      <c r="B106" s="708">
        <f>D95-'[8]1-Баланс'!$C$95</f>
        <v>0</v>
      </c>
      <c r="C106" s="709"/>
      <c r="D106" s="709"/>
      <c r="E106" s="709"/>
    </row>
    <row r="107" spans="1:13" ht="21.75" customHeight="1">
      <c r="A107" s="707">
        <f>D95-H95</f>
        <v>-0.11496999859809875</v>
      </c>
      <c r="B107" s="708">
        <f>'[9]BS_KPMG'!$W$24-C95</f>
        <v>-0.37631000141846016</v>
      </c>
      <c r="C107" s="709"/>
      <c r="D107" s="709"/>
      <c r="E107" s="709"/>
      <c r="M107" s="98"/>
    </row>
    <row r="108" spans="1:5" ht="21.75" customHeight="1">
      <c r="A108" s="693"/>
      <c r="B108" s="708">
        <f>G95-'[9]BS_KPMG'!$W$56</f>
        <v>0</v>
      </c>
      <c r="C108" s="709"/>
      <c r="D108" s="709"/>
      <c r="E108" s="709"/>
    </row>
    <row r="109" spans="1:13" ht="21.75" customHeight="1">
      <c r="A109" s="693"/>
      <c r="B109" s="708"/>
      <c r="C109" s="709"/>
      <c r="D109" s="709"/>
      <c r="E109" s="70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39" sqref="D39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-'[9]PL_KPMG'!AK10</f>
        <v>5043</v>
      </c>
      <c r="D12" s="316">
        <f>-'[9]PL_KPMG'!AL10</f>
        <v>4474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-'[9]PL_KPMG'!AK11</f>
        <v>14283</v>
      </c>
      <c r="D13" s="316">
        <f>-'[9]PL_KPMG'!AL11</f>
        <v>13275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-'[9]PL_KPMG'!AK12</f>
        <v>22953</v>
      </c>
      <c r="D14" s="316">
        <f>-'[9]PL_KPMG'!AL12</f>
        <v>20215</v>
      </c>
      <c r="E14" s="245" t="s">
        <v>285</v>
      </c>
      <c r="F14" s="240" t="s">
        <v>286</v>
      </c>
      <c r="G14" s="316">
        <f>'[9]PL_KPMG'!AK$5+'[9]PL_KPMG'!AK$6</f>
        <v>89041</v>
      </c>
      <c r="H14" s="316">
        <f>'[10]2-Отчет за доходите'!$G$14</f>
        <v>82184</v>
      </c>
    </row>
    <row r="15" spans="1:8" ht="15.75">
      <c r="A15" s="194" t="s">
        <v>287</v>
      </c>
      <c r="B15" s="190" t="s">
        <v>288</v>
      </c>
      <c r="C15" s="316">
        <f>-'[9]PL_KPMG'!AK13</f>
        <v>12273</v>
      </c>
      <c r="D15" s="316">
        <f>-'[9]PL_KPMG'!AL13</f>
        <v>11633</v>
      </c>
      <c r="E15" s="245" t="s">
        <v>79</v>
      </c>
      <c r="F15" s="240" t="s">
        <v>289</v>
      </c>
      <c r="G15" s="316">
        <f>'[9]PL_KPMG'!AK$7</f>
        <v>16758</v>
      </c>
      <c r="H15" s="316">
        <f>'[10]2-Отчет за доходите'!$G$15</f>
        <v>11563</v>
      </c>
    </row>
    <row r="16" spans="1:8" ht="15.75">
      <c r="A16" s="194" t="s">
        <v>290</v>
      </c>
      <c r="B16" s="190" t="s">
        <v>291</v>
      </c>
      <c r="C16" s="316">
        <f>-'[9]PL_KPMG'!AK14</f>
        <v>3125</v>
      </c>
      <c r="D16" s="316">
        <f>-'[9]PL_KPMG'!AL14</f>
        <v>2853</v>
      </c>
      <c r="E16" s="236" t="s">
        <v>52</v>
      </c>
      <c r="F16" s="264" t="s">
        <v>292</v>
      </c>
      <c r="G16" s="625">
        <f>SUM(G12:G15)</f>
        <v>105799</v>
      </c>
      <c r="H16" s="626">
        <f>SUM(H12:H15)</f>
        <v>93747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-SUM('[9]PL_KPMG'!AK$15:AK$17)</f>
        <v>23901</v>
      </c>
      <c r="D19" s="316">
        <f>-SUM('[9]PL_KPMG'!AL$15:AL$17)</f>
        <v>17475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-'[9]PL_KPMG'!AK$15</f>
        <v>5326</v>
      </c>
      <c r="D20" s="316">
        <f>-'[9]PL_KPMG'!AL$15</f>
        <v>4529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'[9]ajur'!$K$485/1000</f>
        <v>31.89366</v>
      </c>
      <c r="D21" s="317">
        <f>'[10]2-Отчет за доходите'!$C$21</f>
        <v>-454.29477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81578</v>
      </c>
      <c r="D22" s="626">
        <f>SUM(D12:D18)+D19</f>
        <v>69925</v>
      </c>
      <c r="E22" s="194" t="s">
        <v>309</v>
      </c>
      <c r="F22" s="237" t="s">
        <v>310</v>
      </c>
      <c r="G22" s="316">
        <f>ROUND('[9]NoteP&amp;L'!$C$75/1000,0)</f>
        <v>4</v>
      </c>
      <c r="H22" s="317">
        <f>'[10]2-Отчет за доходите'!$G$22</f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-ROUND(SUM('[9]NoteP&amp;L'!$C$82:$C$86)/1000,0)</f>
        <v>702</v>
      </c>
      <c r="D25" s="316">
        <f>'[10]2-Отчет за доходите'!$C$25</f>
        <v>1752</v>
      </c>
      <c r="E25" s="194" t="s">
        <v>318</v>
      </c>
      <c r="F25" s="237" t="s">
        <v>319</v>
      </c>
      <c r="G25" s="316">
        <f>ROUND('[7]NoteP&amp;L'!$C$79/1000,0)</f>
        <v>0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ROUND('[7]NoteP&amp;L'!$C$77/1000,0)</f>
        <v>0</v>
      </c>
      <c r="H26" s="317"/>
    </row>
    <row r="27" spans="1:8" ht="31.5">
      <c r="A27" s="194" t="s">
        <v>324</v>
      </c>
      <c r="B27" s="237" t="s">
        <v>325</v>
      </c>
      <c r="C27" s="316">
        <f>-ROUND('[9]NoteP&amp;L'!$C$90/1000,0)</f>
        <v>3</v>
      </c>
      <c r="D27" s="316">
        <f>'[10]2-Отчет за доходите'!$C$27</f>
        <v>21</v>
      </c>
      <c r="E27" s="236" t="s">
        <v>104</v>
      </c>
      <c r="F27" s="238" t="s">
        <v>326</v>
      </c>
      <c r="G27" s="625">
        <f>SUM(G22:G26)</f>
        <v>4</v>
      </c>
      <c r="H27" s="626">
        <f>SUM(H22:H26)</f>
        <v>1</v>
      </c>
    </row>
    <row r="28" spans="1:8" ht="15.75">
      <c r="A28" s="194" t="s">
        <v>79</v>
      </c>
      <c r="B28" s="237" t="s">
        <v>327</v>
      </c>
      <c r="C28" s="316">
        <f>-ROUND(('[9]NoteP&amp;L'!$C$87+'[9]NoteP&amp;L'!$C$88+'[9]NoteP&amp;L'!$C$89)/1000,0)-1</f>
        <v>34</v>
      </c>
      <c r="D28" s="316">
        <f>'[10]2-Отчет за доходите'!$C$28</f>
        <v>70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739</v>
      </c>
      <c r="D29" s="626">
        <f>SUM(D25:D28)</f>
        <v>1843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82317</v>
      </c>
      <c r="D31" s="632">
        <f>D29+D22</f>
        <v>71768</v>
      </c>
      <c r="E31" s="251" t="s">
        <v>824</v>
      </c>
      <c r="F31" s="266" t="s">
        <v>331</v>
      </c>
      <c r="G31" s="253">
        <f>G16+G18+G27</f>
        <v>105803</v>
      </c>
      <c r="H31" s="254">
        <f>H16+H18+H27</f>
        <v>93748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23486</v>
      </c>
      <c r="D33" s="244">
        <f>IF((H31-D31)&gt;0,H31-D31,0)</f>
        <v>21980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82317</v>
      </c>
      <c r="D36" s="634">
        <f>D31-D34+D35</f>
        <v>71768</v>
      </c>
      <c r="E36" s="262" t="s">
        <v>346</v>
      </c>
      <c r="F36" s="256" t="s">
        <v>347</v>
      </c>
      <c r="G36" s="267">
        <f>G35-G34+G31</f>
        <v>105803</v>
      </c>
      <c r="H36" s="268">
        <f>H35-H34+H31</f>
        <v>93748</v>
      </c>
    </row>
    <row r="37" spans="1:8" ht="15.75">
      <c r="A37" s="261" t="s">
        <v>348</v>
      </c>
      <c r="B37" s="231" t="s">
        <v>349</v>
      </c>
      <c r="C37" s="631">
        <f>IF((G36-C36)&gt;0,G36-C36,0)</f>
        <v>23486</v>
      </c>
      <c r="D37" s="632">
        <f>IF((H36-D36)&gt;0,H36-D36,0)</f>
        <v>21980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3142.1538713021805</v>
      </c>
      <c r="D38" s="626">
        <f>D39+D40+D41</f>
        <v>2224.4171503021803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'[9]IAS'!$F$115/1000</f>
        <v>3438.4043639877113</v>
      </c>
      <c r="D39" s="317">
        <f>'[10]2-Отчет за доходите'!$C39</f>
        <v>2525.0505069877104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'[9]IAS'!$F$117/1000</f>
        <v>-296.2504926855309</v>
      </c>
      <c r="D40" s="317">
        <f>'[10]2-Отчет за доходите'!$C40</f>
        <v>-300.63335668553003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20343.84612869782</v>
      </c>
      <c r="D42" s="244">
        <f>+IF((H36-D36-D38)&gt;0,H36-D36-D38,0)</f>
        <v>19755.58284969782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20343.84612869782</v>
      </c>
      <c r="D44" s="268">
        <f>IF(H42=0,IF(D42-D43&gt;0,D42-D43+H43,0),IF(H42-H43&lt;0,H43-H42+D42,0))</f>
        <v>19755.58284969782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105803</v>
      </c>
      <c r="D45" s="628">
        <f>D36+D38+D42</f>
        <v>93748</v>
      </c>
      <c r="E45" s="270" t="s">
        <v>373</v>
      </c>
      <c r="F45" s="272" t="s">
        <v>374</v>
      </c>
      <c r="G45" s="627">
        <f>G42+G36</f>
        <v>105803</v>
      </c>
      <c r="H45" s="628">
        <f>H42+H36</f>
        <v>93748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43675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9" t="str">
        <f>'1-Баланс'!B103:E103</f>
        <v>Васил Борисов Тренев</v>
      </c>
      <c r="C55" s="709"/>
      <c r="D55" s="709"/>
      <c r="E55" s="709"/>
      <c r="F55" s="571"/>
      <c r="G55" s="45"/>
      <c r="H55" s="42"/>
    </row>
    <row r="56" spans="1:8" ht="15.75" customHeight="1">
      <c r="A56" s="693"/>
      <c r="B56" s="709" t="s">
        <v>979</v>
      </c>
      <c r="C56" s="709"/>
      <c r="D56" s="709"/>
      <c r="E56" s="709"/>
      <c r="F56" s="571"/>
      <c r="G56" s="45"/>
      <c r="H56" s="42"/>
    </row>
    <row r="57" spans="1:8" ht="15.75" customHeight="1">
      <c r="A57" s="693"/>
      <c r="B57" s="708">
        <f>D45-'[10]2-Отчет за доходите'!$C$45</f>
        <v>0</v>
      </c>
      <c r="C57" s="709"/>
      <c r="D57" s="709"/>
      <c r="E57" s="709"/>
      <c r="F57" s="571"/>
      <c r="G57" s="45"/>
      <c r="H57" s="42"/>
    </row>
    <row r="58" spans="1:8" ht="15.75" customHeight="1">
      <c r="A58" s="693"/>
      <c r="B58" s="708">
        <f>H45-'[10]2-Отчет за доходите'!$G$45</f>
        <v>0</v>
      </c>
      <c r="C58" s="709"/>
      <c r="D58" s="709"/>
      <c r="E58" s="709"/>
      <c r="F58" s="571"/>
      <c r="G58" s="45"/>
      <c r="H58" s="42"/>
    </row>
    <row r="59" spans="1:8" ht="15.75">
      <c r="A59" s="693"/>
      <c r="B59" s="709"/>
      <c r="C59" s="709"/>
      <c r="D59" s="709"/>
      <c r="E59" s="709"/>
      <c r="F59" s="571"/>
      <c r="G59" s="45"/>
      <c r="H59" s="42"/>
    </row>
    <row r="60" spans="1:8" ht="15.75">
      <c r="A60" s="693"/>
      <c r="B60" s="709"/>
      <c r="C60" s="709"/>
      <c r="D60" s="709"/>
      <c r="E60" s="709"/>
      <c r="F60" s="571"/>
      <c r="G60" s="45"/>
      <c r="H60" s="42"/>
    </row>
    <row r="61" spans="1:8" ht="15.75">
      <c r="A61" s="693"/>
      <c r="B61" s="709"/>
      <c r="C61" s="709"/>
      <c r="D61" s="709"/>
      <c r="E61" s="70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38" sqref="D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ROUND('[11]Cash Flow LBE 2016'!$Q$12,0)</f>
        <v>98488</v>
      </c>
      <c r="D11" s="196">
        <f>'[10]3-Отчет за паричния поток'!$C$11</f>
        <v>93692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ROUND('[11]Cash Flow LBE 2016'!$Q$14,0)</f>
        <v>-17109</v>
      </c>
      <c r="D14" s="196">
        <f>'[10]3-Отчет за паричния поток'!$C$14</f>
        <v>-16537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ROUND('[11]Cash Flow LBE 2016'!$Q$37+'[11]Cash Flow LBE 2016'!$Q$38,0)</f>
        <v>-9561</v>
      </c>
      <c r="D15" s="196">
        <f>'[10]3-Отчет за паричния поток'!$C$15</f>
        <v>-9553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ROUND('[11]Cash Flow LBE 2016'!$Q$36,0)</f>
        <v>-2990</v>
      </c>
      <c r="D16" s="196">
        <f>'[10]3-Отчет за паричния поток'!$C$16</f>
        <v>-2843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ROUND(SUM('[11]Cash Flow LBE 2016'!$Q$15:$Q$22)+'[11]Cash Flow LBE 2016'!$Q$30,0)</f>
        <v>-33853</v>
      </c>
      <c r="D20" s="196">
        <f>'[10]3-Отчет за паричния поток'!$C$20</f>
        <v>-29052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34975</v>
      </c>
      <c r="D21" s="656">
        <f>SUM(D11:D20)</f>
        <v>35707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ROUND('[11]Cash Flow LBE 2016'!$Q$34,0)</f>
        <v>-15894</v>
      </c>
      <c r="D23" s="196">
        <f>'[10]3-Отчет за паричния поток'!$C$23</f>
        <v>-10124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-15894</v>
      </c>
      <c r="D33" s="656">
        <f>SUM(D23:D32)</f>
        <v>-10124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'[10]3-Отчет за паричния поток'!$C$37</f>
        <v>98320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ROUND('[11]Cash Flow LBE 2016'!$Q$49,0)</f>
        <v>-16175</v>
      </c>
      <c r="D38" s="196">
        <f>'[10]3-Отчет за паричния поток'!$C$38</f>
        <v>-110752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ROUND('[11]Cash Flow LBE 2016'!$Q$47,0)</f>
        <v>-600</v>
      </c>
      <c r="D39" s="196">
        <f>'[10]3-Отчет за паричния поток'!$C$39</f>
        <v>-420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ROUND(SUM('[11]Cash Flow LBE 2016'!$Q$41:$Q$43)+'[11]Cash Flow LBE 2016'!$Q$45,0)</f>
        <v>-475</v>
      </c>
      <c r="D40" s="196">
        <f>'[10]3-Отчет за паричния поток'!$C$40</f>
        <v>-2559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ROUND('[11]Cash Flow LBE 2016'!$Q$44,0)</f>
        <v>118</v>
      </c>
      <c r="D42" s="196">
        <f>'[10]3-Отчет за паричния поток'!$C$42</f>
        <v>80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-17132</v>
      </c>
      <c r="D43" s="658">
        <f>SUM(D35:D42)</f>
        <v>-15331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1949</v>
      </c>
      <c r="D44" s="307">
        <f>D43+D33+D21</f>
        <v>10252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'[11]Cash Flow LBE 2016'!$Q$55</f>
        <v>35815</v>
      </c>
      <c r="D45" s="309">
        <f>'[10]3-Отчет за паричния поток'!$C$45</f>
        <v>25662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37764</v>
      </c>
      <c r="D46" s="311">
        <f>D45+D44</f>
        <v>35914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37764</v>
      </c>
      <c r="D47" s="298">
        <f>D46</f>
        <v>35914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1088</v>
      </c>
      <c r="D48" s="281">
        <f>'[10]3-Отчет за паричния поток'!$C$48</f>
        <v>775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43675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9" t="str">
        <f>'2-Отчет за доходите'!B55:E55</f>
        <v>Васил Борисов Тренев</v>
      </c>
      <c r="C59" s="709"/>
      <c r="D59" s="709"/>
      <c r="E59" s="709"/>
      <c r="F59" s="571"/>
      <c r="G59" s="45"/>
      <c r="H59" s="42"/>
    </row>
    <row r="60" spans="1:8" ht="15.75">
      <c r="A60" s="693"/>
      <c r="B60" s="708">
        <f>C46-'[4]Cash Flow LBE 2016'!$Q$56</f>
        <v>1849.559901836663</v>
      </c>
      <c r="C60" s="709"/>
      <c r="D60" s="709"/>
      <c r="E60" s="709"/>
      <c r="F60" s="571"/>
      <c r="G60" s="45"/>
      <c r="H60" s="42"/>
    </row>
    <row r="61" spans="1:8" ht="15.75">
      <c r="A61" s="693"/>
      <c r="B61" s="708">
        <f>D46-'[6]3-Отчет за паричния поток'!$C$46</f>
        <v>10376.612432000005</v>
      </c>
      <c r="C61" s="709"/>
      <c r="D61" s="709"/>
      <c r="E61" s="709"/>
      <c r="F61" s="571"/>
      <c r="G61" s="45"/>
      <c r="H61" s="42"/>
    </row>
    <row r="62" spans="1:8" ht="15.75">
      <c r="A62" s="693"/>
      <c r="B62" s="709" t="s">
        <v>979</v>
      </c>
      <c r="C62" s="709"/>
      <c r="D62" s="709"/>
      <c r="E62" s="709"/>
      <c r="F62" s="571"/>
      <c r="G62" s="45"/>
      <c r="H62" s="42"/>
    </row>
    <row r="63" spans="1:8" ht="15.75">
      <c r="A63" s="693"/>
      <c r="B63" s="708"/>
      <c r="C63" s="709"/>
      <c r="D63" s="709"/>
      <c r="E63" s="709"/>
      <c r="F63" s="571"/>
      <c r="G63" s="45"/>
      <c r="H63" s="42"/>
    </row>
    <row r="64" spans="1:8" ht="15.75">
      <c r="A64" s="693"/>
      <c r="B64" s="708"/>
      <c r="C64" s="709"/>
      <c r="D64" s="709"/>
      <c r="E64" s="709"/>
      <c r="F64" s="571"/>
      <c r="G64" s="45"/>
      <c r="H64" s="42"/>
    </row>
    <row r="65" spans="1:8" ht="15.75">
      <c r="A65" s="693"/>
      <c r="B65" s="709"/>
      <c r="C65" s="709"/>
      <c r="D65" s="709"/>
      <c r="E65" s="70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C13" sqref="C13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1.5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1.5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-348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246228</v>
      </c>
      <c r="J13" s="581">
        <f>'1-Баланс'!H30+'1-Баланс'!H33</f>
        <v>0</v>
      </c>
      <c r="K13" s="582"/>
      <c r="L13" s="581">
        <f>SUM(C13:K13)</f>
        <v>265538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-348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246228</v>
      </c>
      <c r="J17" s="650">
        <f t="shared" si="2"/>
        <v>0</v>
      </c>
      <c r="K17" s="650">
        <f t="shared" si="2"/>
        <v>0</v>
      </c>
      <c r="L17" s="581">
        <f t="shared" si="1"/>
        <v>265538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20344</v>
      </c>
      <c r="J18" s="581">
        <f>+'1-Баланс'!G33</f>
        <v>0</v>
      </c>
      <c r="K18" s="582"/>
      <c r="L18" s="581">
        <f t="shared" si="1"/>
        <v>20344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-348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266572</v>
      </c>
      <c r="J31" s="650">
        <f t="shared" si="6"/>
        <v>0</v>
      </c>
      <c r="K31" s="650">
        <f t="shared" si="6"/>
        <v>0</v>
      </c>
      <c r="L31" s="581">
        <f t="shared" si="1"/>
        <v>285882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-348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266572</v>
      </c>
      <c r="J34" s="584">
        <f t="shared" si="7"/>
        <v>0</v>
      </c>
      <c r="K34" s="584">
        <f t="shared" si="7"/>
        <v>0</v>
      </c>
      <c r="L34" s="648">
        <f t="shared" si="1"/>
        <v>285882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43675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9" t="str">
        <f>'3-Отчет за паричния поток'!B59:E59</f>
        <v>Васил Борисов Тренев</v>
      </c>
      <c r="C43" s="709"/>
      <c r="D43" s="709"/>
      <c r="E43" s="709"/>
      <c r="F43" s="571"/>
      <c r="G43" s="45"/>
      <c r="H43" s="42"/>
      <c r="M43" s="169"/>
    </row>
    <row r="44" spans="1:13" ht="15.75">
      <c r="A44" s="693"/>
      <c r="B44" s="709" t="s">
        <v>979</v>
      </c>
      <c r="C44" s="709"/>
      <c r="D44" s="709"/>
      <c r="E44" s="709"/>
      <c r="F44" s="571"/>
      <c r="G44" s="45"/>
      <c r="H44" s="42"/>
      <c r="M44" s="169"/>
    </row>
    <row r="45" spans="1:13" ht="15.75">
      <c r="A45" s="693"/>
      <c r="B45" s="709" t="s">
        <v>979</v>
      </c>
      <c r="C45" s="709"/>
      <c r="D45" s="709"/>
      <c r="E45" s="709"/>
      <c r="F45" s="571"/>
      <c r="G45" s="45"/>
      <c r="H45" s="42"/>
      <c r="M45" s="169"/>
    </row>
    <row r="46" spans="1:13" ht="15.75">
      <c r="A46" s="693"/>
      <c r="B46" s="708">
        <f>L34-'1-Баланс'!G37</f>
        <v>0</v>
      </c>
      <c r="C46" s="709"/>
      <c r="D46" s="709"/>
      <c r="E46" s="709"/>
      <c r="F46" s="571"/>
      <c r="G46" s="45"/>
      <c r="H46" s="42"/>
      <c r="M46" s="169"/>
    </row>
    <row r="47" spans="1:13" ht="15.75">
      <c r="A47" s="693"/>
      <c r="B47" s="709"/>
      <c r="C47" s="709"/>
      <c r="D47" s="709"/>
      <c r="E47" s="709"/>
      <c r="F47" s="571"/>
      <c r="G47" s="45"/>
      <c r="H47" s="42"/>
      <c r="M47" s="169"/>
    </row>
    <row r="48" spans="1:13" ht="15.75">
      <c r="A48" s="693"/>
      <c r="B48" s="709"/>
      <c r="C48" s="709"/>
      <c r="D48" s="709"/>
      <c r="E48" s="709"/>
      <c r="F48" s="571"/>
      <c r="G48" s="45"/>
      <c r="H48" s="42"/>
      <c r="M48" s="169"/>
    </row>
    <row r="49" spans="1:13" ht="15.75">
      <c r="A49" s="693"/>
      <c r="B49" s="709"/>
      <c r="C49" s="709"/>
      <c r="D49" s="709"/>
      <c r="E49" s="70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999</v>
      </c>
      <c r="B12" s="677" t="s">
        <v>109</v>
      </c>
      <c r="C12" s="92">
        <v>5</v>
      </c>
      <c r="D12" s="92" t="s">
        <v>1000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43675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9" t="str">
        <f>'4-Отчет за собствения капитал'!B43:E43</f>
        <v>Васил Борисов Тренев</v>
      </c>
      <c r="C156" s="709"/>
      <c r="D156" s="709"/>
      <c r="E156" s="709"/>
      <c r="F156" s="571"/>
      <c r="G156" s="45"/>
      <c r="H156" s="42"/>
    </row>
    <row r="157" spans="1:8" ht="15.75">
      <c r="A157" s="693"/>
      <c r="B157" s="709" t="s">
        <v>979</v>
      </c>
      <c r="C157" s="709"/>
      <c r="D157" s="709"/>
      <c r="E157" s="709"/>
      <c r="F157" s="571"/>
      <c r="G157" s="45"/>
      <c r="H157" s="42"/>
    </row>
    <row r="158" spans="1:8" ht="15.75">
      <c r="A158" s="693"/>
      <c r="B158" s="709" t="s">
        <v>979</v>
      </c>
      <c r="C158" s="709"/>
      <c r="D158" s="709"/>
      <c r="E158" s="709"/>
      <c r="F158" s="571"/>
      <c r="G158" s="45"/>
      <c r="H158" s="42"/>
    </row>
    <row r="159" spans="1:8" ht="15.75">
      <c r="A159" s="693"/>
      <c r="B159" s="709" t="s">
        <v>979</v>
      </c>
      <c r="C159" s="709"/>
      <c r="D159" s="709"/>
      <c r="E159" s="709"/>
      <c r="F159" s="571"/>
      <c r="G159" s="45"/>
      <c r="H159" s="42"/>
    </row>
    <row r="160" spans="1:8" ht="15.75">
      <c r="A160" s="693"/>
      <c r="B160" s="709"/>
      <c r="C160" s="709"/>
      <c r="D160" s="709"/>
      <c r="E160" s="709"/>
      <c r="F160" s="571"/>
      <c r="G160" s="45"/>
      <c r="H160" s="42"/>
    </row>
    <row r="161" spans="1:8" ht="15.75">
      <c r="A161" s="693"/>
      <c r="B161" s="709"/>
      <c r="C161" s="709"/>
      <c r="D161" s="709"/>
      <c r="E161" s="709"/>
      <c r="F161" s="571"/>
      <c r="G161" s="45"/>
      <c r="H161" s="42"/>
    </row>
    <row r="162" spans="1:8" ht="15.75">
      <c r="A162" s="693"/>
      <c r="B162" s="709"/>
      <c r="C162" s="709"/>
      <c r="D162" s="709"/>
      <c r="E162" s="70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3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0</v>
      </c>
      <c r="F12" s="698">
        <v>0</v>
      </c>
      <c r="G12" s="699">
        <f aca="true" t="shared" si="2" ref="G12:G41">D12+E12-F12</f>
        <v>525</v>
      </c>
      <c r="H12" s="328"/>
      <c r="I12" s="328"/>
      <c r="J12" s="699">
        <f aca="true" t="shared" si="3" ref="J12:J26">G12+H12-I12</f>
        <v>525</v>
      </c>
      <c r="K12" s="698">
        <v>235</v>
      </c>
      <c r="L12" s="698">
        <v>10</v>
      </c>
      <c r="M12" s="698">
        <v>0</v>
      </c>
      <c r="N12" s="699">
        <f aca="true" t="shared" si="4" ref="N12:N41">K12+L12-M12</f>
        <v>245</v>
      </c>
      <c r="O12" s="328"/>
      <c r="P12" s="328"/>
      <c r="Q12" s="699">
        <f t="shared" si="0"/>
        <v>245</v>
      </c>
      <c r="R12" s="701">
        <f t="shared" si="1"/>
        <v>280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36407</v>
      </c>
      <c r="E13" s="698">
        <v>764</v>
      </c>
      <c r="F13" s="698">
        <v>92</v>
      </c>
      <c r="G13" s="699">
        <f t="shared" si="2"/>
        <v>37079</v>
      </c>
      <c r="H13" s="328"/>
      <c r="I13" s="328"/>
      <c r="J13" s="699">
        <f t="shared" si="3"/>
        <v>37079</v>
      </c>
      <c r="K13" s="698">
        <v>23823</v>
      </c>
      <c r="L13" s="698">
        <v>1436</v>
      </c>
      <c r="M13" s="698">
        <v>86</v>
      </c>
      <c r="N13" s="699">
        <f t="shared" si="4"/>
        <v>25173</v>
      </c>
      <c r="O13" s="328"/>
      <c r="P13" s="328"/>
      <c r="Q13" s="699">
        <f t="shared" si="0"/>
        <v>25173</v>
      </c>
      <c r="R13" s="701">
        <f t="shared" si="1"/>
        <v>11906</v>
      </c>
    </row>
    <row r="14" spans="1:18" ht="15.7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16485</v>
      </c>
      <c r="E15" s="698">
        <v>572</v>
      </c>
      <c r="F15" s="698">
        <v>405</v>
      </c>
      <c r="G15" s="699">
        <f t="shared" si="2"/>
        <v>16652</v>
      </c>
      <c r="H15" s="328"/>
      <c r="I15" s="328"/>
      <c r="J15" s="699">
        <f t="shared" si="3"/>
        <v>16652</v>
      </c>
      <c r="K15" s="698">
        <v>10150</v>
      </c>
      <c r="L15" s="698">
        <v>798</v>
      </c>
      <c r="M15" s="698">
        <v>404</v>
      </c>
      <c r="N15" s="699">
        <f t="shared" si="4"/>
        <v>10544</v>
      </c>
      <c r="O15" s="328"/>
      <c r="P15" s="328"/>
      <c r="Q15" s="699">
        <f t="shared" si="0"/>
        <v>10544</v>
      </c>
      <c r="R15" s="701">
        <f t="shared" si="1"/>
        <v>6108</v>
      </c>
    </row>
    <row r="16" spans="1:18" ht="15.7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1354</v>
      </c>
      <c r="F17" s="698">
        <v>1354</v>
      </c>
      <c r="G17" s="699">
        <f t="shared" si="2"/>
        <v>0</v>
      </c>
      <c r="H17" s="328"/>
      <c r="I17" s="328"/>
      <c r="J17" s="699">
        <f t="shared" si="3"/>
        <v>0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1954</v>
      </c>
      <c r="E18" s="698">
        <v>18</v>
      </c>
      <c r="F18" s="698">
        <v>0</v>
      </c>
      <c r="G18" s="699">
        <f t="shared" si="2"/>
        <v>1972</v>
      </c>
      <c r="H18" s="328"/>
      <c r="I18" s="328"/>
      <c r="J18" s="699">
        <f t="shared" si="3"/>
        <v>1972</v>
      </c>
      <c r="K18" s="698">
        <v>1177</v>
      </c>
      <c r="L18" s="698">
        <v>46</v>
      </c>
      <c r="M18" s="698">
        <v>0</v>
      </c>
      <c r="N18" s="699">
        <f t="shared" si="4"/>
        <v>1223</v>
      </c>
      <c r="O18" s="328"/>
      <c r="P18" s="328"/>
      <c r="Q18" s="699">
        <f t="shared" si="0"/>
        <v>1223</v>
      </c>
      <c r="R18" s="701">
        <f t="shared" si="1"/>
        <v>749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55556</v>
      </c>
      <c r="E19" s="700">
        <f>SUM(E11:E18)</f>
        <v>2708</v>
      </c>
      <c r="F19" s="700">
        <f>SUM(F11:F18)</f>
        <v>1851</v>
      </c>
      <c r="G19" s="703">
        <f t="shared" si="2"/>
        <v>56413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56413</v>
      </c>
      <c r="K19" s="700">
        <f>SUM(K11:K18)</f>
        <v>35385</v>
      </c>
      <c r="L19" s="700">
        <f>SUM(L11:L18)</f>
        <v>2290</v>
      </c>
      <c r="M19" s="700">
        <f>SUM(M11:M18)</f>
        <v>490</v>
      </c>
      <c r="N19" s="703">
        <f t="shared" si="4"/>
        <v>37185</v>
      </c>
      <c r="O19" s="330">
        <f>SUM(O11:O18)</f>
        <v>0</v>
      </c>
      <c r="P19" s="330">
        <f>SUM(P11:P18)</f>
        <v>0</v>
      </c>
      <c r="Q19" s="703">
        <f t="shared" si="0"/>
        <v>37185</v>
      </c>
      <c r="R19" s="704">
        <f t="shared" si="1"/>
        <v>19228</v>
      </c>
      <c r="S19" s="124"/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21196.69844</v>
      </c>
      <c r="E24" s="698">
        <v>227</v>
      </c>
      <c r="F24" s="698"/>
      <c r="G24" s="699">
        <f t="shared" si="2"/>
        <v>21423.69844</v>
      </c>
      <c r="H24" s="698"/>
      <c r="I24" s="698"/>
      <c r="J24" s="699">
        <f t="shared" si="3"/>
        <v>21423.69844</v>
      </c>
      <c r="K24" s="698">
        <v>16667</v>
      </c>
      <c r="L24" s="698">
        <v>379</v>
      </c>
      <c r="M24" s="698"/>
      <c r="N24" s="699">
        <f t="shared" si="4"/>
        <v>17046</v>
      </c>
      <c r="O24" s="698"/>
      <c r="P24" s="698"/>
      <c r="Q24" s="699">
        <f t="shared" si="0"/>
        <v>17046</v>
      </c>
      <c r="R24" s="701">
        <f t="shared" si="1"/>
        <v>4377.69844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</v>
      </c>
      <c r="L25" s="698">
        <v>0</v>
      </c>
      <c r="M25" s="698"/>
      <c r="N25" s="699">
        <f t="shared" si="4"/>
        <v>21037</v>
      </c>
      <c r="O25" s="698"/>
      <c r="P25" s="698"/>
      <c r="Q25" s="699">
        <f t="shared" si="0"/>
        <v>21037</v>
      </c>
      <c r="R25" s="701">
        <f t="shared" si="1"/>
        <v>4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541074.6778700014</v>
      </c>
      <c r="E26" s="698">
        <v>32546</v>
      </c>
      <c r="F26" s="698">
        <v>15788</v>
      </c>
      <c r="G26" s="699">
        <f t="shared" si="2"/>
        <v>557832.6778700014</v>
      </c>
      <c r="H26" s="698"/>
      <c r="I26" s="698"/>
      <c r="J26" s="699">
        <f t="shared" si="3"/>
        <v>557832.6778700014</v>
      </c>
      <c r="K26" s="698">
        <v>247968</v>
      </c>
      <c r="L26" s="698">
        <v>20283</v>
      </c>
      <c r="M26" s="698"/>
      <c r="N26" s="699">
        <f t="shared" si="4"/>
        <v>268251</v>
      </c>
      <c r="O26" s="698"/>
      <c r="P26" s="698"/>
      <c r="Q26" s="699">
        <f t="shared" si="0"/>
        <v>268251</v>
      </c>
      <c r="R26" s="701">
        <f t="shared" si="1"/>
        <v>289581.6778700014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583312.3763100014</v>
      </c>
      <c r="E27" s="702">
        <f>SUM(E24:E26)</f>
        <v>32773</v>
      </c>
      <c r="F27" s="702">
        <f>SUM(F24:F26)</f>
        <v>15788</v>
      </c>
      <c r="G27" s="705">
        <f t="shared" si="2"/>
        <v>600297.3763100014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600297.3763100014</v>
      </c>
      <c r="K27" s="702">
        <f>SUM(K24:K26)</f>
        <v>285672</v>
      </c>
      <c r="L27" s="702">
        <f>SUM(L24:L26)</f>
        <v>20662</v>
      </c>
      <c r="M27" s="702">
        <f>SUM(M24:M26)</f>
        <v>0</v>
      </c>
      <c r="N27" s="705">
        <f t="shared" si="4"/>
        <v>306334</v>
      </c>
      <c r="O27" s="702">
        <f t="shared" si="6"/>
        <v>0</v>
      </c>
      <c r="P27" s="702">
        <f t="shared" si="6"/>
        <v>0</v>
      </c>
      <c r="Q27" s="705">
        <f t="shared" si="0"/>
        <v>306334</v>
      </c>
      <c r="R27" s="706">
        <f>SUM(R24:R26)</f>
        <v>293963.3763100014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646261.3763100014</v>
      </c>
      <c r="E42" s="346">
        <f>E19+E20+E21+E27+E40+E41</f>
        <v>35481</v>
      </c>
      <c r="F42" s="346">
        <f aca="true" t="shared" si="12" ref="F42:R42">F19+F20+F21+F27+F40+F41</f>
        <v>17639</v>
      </c>
      <c r="G42" s="346">
        <f t="shared" si="12"/>
        <v>664103.3763100014</v>
      </c>
      <c r="H42" s="346">
        <f t="shared" si="12"/>
        <v>0</v>
      </c>
      <c r="I42" s="346">
        <f t="shared" si="12"/>
        <v>0</v>
      </c>
      <c r="J42" s="346">
        <f t="shared" si="12"/>
        <v>664103.3763100014</v>
      </c>
      <c r="K42" s="346">
        <f t="shared" si="12"/>
        <v>328450</v>
      </c>
      <c r="L42" s="346">
        <f t="shared" si="12"/>
        <v>22952</v>
      </c>
      <c r="M42" s="346">
        <f t="shared" si="12"/>
        <v>490</v>
      </c>
      <c r="N42" s="346">
        <f t="shared" si="12"/>
        <v>350912</v>
      </c>
      <c r="O42" s="346">
        <f t="shared" si="12"/>
        <v>0</v>
      </c>
      <c r="P42" s="346">
        <f t="shared" si="12"/>
        <v>0</v>
      </c>
      <c r="Q42" s="346">
        <f t="shared" si="12"/>
        <v>350912</v>
      </c>
      <c r="R42" s="347">
        <f t="shared" si="12"/>
        <v>313191.3763100014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43675</v>
      </c>
      <c r="D45" s="710"/>
      <c r="E45" s="710"/>
      <c r="F45" s="710"/>
      <c r="G45" s="710"/>
      <c r="H45" s="710"/>
      <c r="I45" s="710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3"/>
      <c r="C50" s="709" t="str">
        <f>'Справка 5'!B156</f>
        <v>Васил Борисов Тренев</v>
      </c>
      <c r="D50" s="709"/>
      <c r="E50" s="709"/>
      <c r="F50" s="709"/>
      <c r="G50" s="571"/>
      <c r="H50" s="45"/>
      <c r="I50" s="42"/>
    </row>
    <row r="51" spans="2:9" ht="15.75">
      <c r="B51" s="693"/>
      <c r="C51" s="709" t="s">
        <v>979</v>
      </c>
      <c r="D51" s="709"/>
      <c r="E51" s="709"/>
      <c r="F51" s="709"/>
      <c r="G51" s="571"/>
      <c r="H51" s="45"/>
      <c r="I51" s="42"/>
    </row>
    <row r="52" spans="2:9" ht="15.75">
      <c r="B52" s="693"/>
      <c r="C52" s="709" t="s">
        <v>979</v>
      </c>
      <c r="D52" s="709"/>
      <c r="E52" s="709"/>
      <c r="F52" s="709"/>
      <c r="G52" s="571"/>
      <c r="H52" s="45"/>
      <c r="I52" s="42"/>
    </row>
    <row r="53" spans="2:9" ht="15.75">
      <c r="B53" s="693"/>
      <c r="C53" s="709" t="s">
        <v>979</v>
      </c>
      <c r="D53" s="709"/>
      <c r="E53" s="709"/>
      <c r="F53" s="709"/>
      <c r="G53" s="571"/>
      <c r="H53" s="45"/>
      <c r="I53" s="42"/>
    </row>
    <row r="54" spans="2:11" ht="15.75">
      <c r="B54" s="693"/>
      <c r="C54" s="709"/>
      <c r="D54" s="709"/>
      <c r="E54" s="709"/>
      <c r="F54" s="709"/>
      <c r="G54" s="571"/>
      <c r="H54" s="573"/>
      <c r="I54" s="42"/>
      <c r="K54" s="124"/>
    </row>
    <row r="55" spans="2:11" ht="15.75">
      <c r="B55" s="693"/>
      <c r="C55" s="709"/>
      <c r="D55" s="709"/>
      <c r="E55" s="709"/>
      <c r="F55" s="709"/>
      <c r="G55" s="571"/>
      <c r="H55" s="573"/>
      <c r="I55" s="42"/>
      <c r="K55" s="124"/>
    </row>
    <row r="56" spans="2:11" ht="15.75">
      <c r="B56" s="693"/>
      <c r="C56" s="709"/>
      <c r="D56" s="709"/>
      <c r="E56" s="709"/>
      <c r="F56" s="709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tabSelected="1" view="pageBreakPreview" zoomScale="70" zoomScaleNormal="85" zoomScaleSheetLayoutView="70" zoomScalePageLayoutView="0" workbookViewId="0" topLeftCell="A79">
      <selection activeCell="C104" sqref="C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.7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181</v>
      </c>
      <c r="D18" s="359">
        <f>+D19+D20</f>
        <v>0</v>
      </c>
      <c r="E18" s="366">
        <f t="shared" si="0"/>
        <v>181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181</v>
      </c>
      <c r="D20" s="365"/>
      <c r="E20" s="366">
        <f t="shared" si="0"/>
        <v>181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181</v>
      </c>
      <c r="D21" s="437">
        <f>D13+D17+D18</f>
        <v>0</v>
      </c>
      <c r="E21" s="438">
        <f>E13+E17+E18</f>
        <v>181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7383</v>
      </c>
      <c r="D23" s="440"/>
      <c r="E23" s="439">
        <f t="shared" si="0"/>
        <v>7383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43</v>
      </c>
      <c r="D26" s="359">
        <f>SUM(D27:D29)</f>
        <v>43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43</v>
      </c>
      <c r="D29" s="365">
        <f>C29</f>
        <v>43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39143</v>
      </c>
      <c r="D30" s="365">
        <f>C30</f>
        <v>39143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39186</v>
      </c>
      <c r="D45" s="435">
        <f>D26+D30+D31+D33+D32+D34+D35+D40</f>
        <v>39186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46750</v>
      </c>
      <c r="D46" s="441">
        <f>D45+D23+D21+D11</f>
        <v>39186</v>
      </c>
      <c r="E46" s="442">
        <f>E45+E23+E21+E11</f>
        <v>7564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56870</v>
      </c>
      <c r="D58" s="138">
        <f>D59+D61</f>
        <v>24617</v>
      </c>
      <c r="E58" s="136">
        <f t="shared" si="1"/>
        <v>32253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ROUND('[9]loans_short_long'!$G$43/1000,0)</f>
        <v>56870</v>
      </c>
      <c r="D59" s="197">
        <f>ROUND('[9]loans_short_long'!$G$39/1000,0)</f>
        <v>24617</v>
      </c>
      <c r="E59" s="136">
        <f t="shared" si="1"/>
        <v>32253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'1-Баланс'!G49+'[9]BS_KPMG'!$W$36+'[9]BS_KPMG'!$W$44</f>
        <v>16299</v>
      </c>
      <c r="D66" s="197">
        <f>D67</f>
        <v>967</v>
      </c>
      <c r="E66" s="136">
        <f t="shared" si="1"/>
        <v>15332</v>
      </c>
      <c r="F66" s="196"/>
    </row>
    <row r="67" spans="1:6" ht="15.75">
      <c r="A67" s="367" t="s">
        <v>684</v>
      </c>
      <c r="B67" s="135" t="s">
        <v>685</v>
      </c>
      <c r="C67" s="197">
        <f>'[9]BS_KPMG'!$W$36+'[9]BS_KPMG'!$W$44</f>
        <v>2049</v>
      </c>
      <c r="D67" s="197">
        <f>'[9]BS_KPMG'!$W$44</f>
        <v>967</v>
      </c>
      <c r="E67" s="136">
        <f t="shared" si="1"/>
        <v>1082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73169</v>
      </c>
      <c r="D68" s="432">
        <f>D54+D58+D63+D64+D65+D66</f>
        <v>25584</v>
      </c>
      <c r="E68" s="433">
        <f t="shared" si="1"/>
        <v>47585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2965</v>
      </c>
      <c r="D73" s="137">
        <f>SUM(D74:D76)</f>
        <v>2965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2965</v>
      </c>
      <c r="D76" s="197">
        <f>C76</f>
        <v>2965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32358</v>
      </c>
      <c r="D87" s="134">
        <f>SUM(D88:D92)+D96</f>
        <v>32358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24036</v>
      </c>
      <c r="D89" s="197">
        <f>C89</f>
        <v>24036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4775</v>
      </c>
      <c r="D91" s="197">
        <f>C91</f>
        <v>4775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2628</v>
      </c>
      <c r="D92" s="138">
        <f>SUM(D93:D95)</f>
        <v>2628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'1-Баланс'!G68</f>
        <v>2628</v>
      </c>
      <c r="D93" s="197">
        <f>C93</f>
        <v>2628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919</v>
      </c>
      <c r="D96" s="197">
        <f>C96</f>
        <v>919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4641</v>
      </c>
      <c r="D97" s="197">
        <f>C97</f>
        <v>4641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39964</v>
      </c>
      <c r="D98" s="430">
        <f>D87+D82+D77+D73+D97</f>
        <v>39964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113133</v>
      </c>
      <c r="D99" s="424">
        <f>D98+D70+D68</f>
        <v>65548</v>
      </c>
      <c r="E99" s="424">
        <f>E98+E70+E68</f>
        <v>47585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ROUND('[9]NoteBS'!$C$108,0)</f>
        <v>1835</v>
      </c>
      <c r="D104" s="216">
        <f>ROUND('[9]NoteBS'!$D$108,0)</f>
        <v>32</v>
      </c>
      <c r="E104" s="216">
        <f>ROUND(-'[9]NoteBS'!$E$108-'[9]NoteBS'!$F$108,0)</f>
        <v>17</v>
      </c>
      <c r="F104" s="418">
        <f>C104+D104-E104</f>
        <v>1850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>
        <f>ROUND(-'[3]FInst, loans'!$C$200,0)</f>
        <v>0</v>
      </c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1835</v>
      </c>
      <c r="D107" s="422">
        <f>SUM(D104:D106)</f>
        <v>32</v>
      </c>
      <c r="E107" s="422">
        <f>SUM(E104:E106)</f>
        <v>17</v>
      </c>
      <c r="F107" s="423">
        <f>SUM(F104:F106)</f>
        <v>1850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43675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9" t="str">
        <f>'Справка 6'!C50</f>
        <v>Васил Борисов Тренев</v>
      </c>
      <c r="C116" s="709"/>
      <c r="D116" s="709"/>
      <c r="E116" s="709"/>
      <c r="F116" s="709"/>
      <c r="G116" s="693"/>
      <c r="H116" s="693"/>
    </row>
    <row r="117" spans="1:8" ht="15.75" customHeight="1">
      <c r="A117" s="693"/>
      <c r="B117" s="709" t="s">
        <v>979</v>
      </c>
      <c r="C117" s="709"/>
      <c r="D117" s="709"/>
      <c r="E117" s="709"/>
      <c r="F117" s="709"/>
      <c r="G117" s="693"/>
      <c r="H117" s="693"/>
    </row>
    <row r="118" spans="1:8" ht="15.75" customHeight="1">
      <c r="A118" s="693"/>
      <c r="B118" s="737"/>
      <c r="C118" s="709"/>
      <c r="D118" s="709"/>
      <c r="E118" s="709"/>
      <c r="F118" s="709"/>
      <c r="G118" s="693"/>
      <c r="H118" s="693"/>
    </row>
    <row r="119" spans="1:8" ht="15.75" customHeight="1">
      <c r="A119" s="693"/>
      <c r="B119" s="737">
        <f>F107+C99</f>
        <v>114983</v>
      </c>
      <c r="C119" s="709"/>
      <c r="D119" s="709"/>
      <c r="E119" s="709"/>
      <c r="F119" s="709"/>
      <c r="G119" s="693"/>
      <c r="H119" s="693"/>
    </row>
    <row r="120" spans="1:8" ht="15.75">
      <c r="A120" s="693"/>
      <c r="B120" s="737">
        <f>'1-Баланс'!G56+'1-Баланс'!G79</f>
        <v>114983</v>
      </c>
      <c r="C120" s="709"/>
      <c r="D120" s="709"/>
      <c r="E120" s="709"/>
      <c r="F120" s="709"/>
      <c r="G120" s="693"/>
      <c r="H120" s="693"/>
    </row>
    <row r="121" spans="1:8" ht="15.75">
      <c r="A121" s="693"/>
      <c r="B121" s="737">
        <f>B119-B120</f>
        <v>0</v>
      </c>
      <c r="C121" s="709"/>
      <c r="D121" s="709"/>
      <c r="E121" s="709"/>
      <c r="F121" s="709"/>
      <c r="G121" s="693"/>
      <c r="H121" s="693"/>
    </row>
    <row r="122" spans="1:8" ht="15.75">
      <c r="A122" s="693"/>
      <c r="B122" s="709"/>
      <c r="C122" s="709"/>
      <c r="D122" s="709"/>
      <c r="E122" s="709"/>
      <c r="F122" s="70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43675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3"/>
      <c r="B36" s="709" t="str">
        <f>'Справка 7'!B116:F116</f>
        <v>Васил Борисов Тренев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3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3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3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3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3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3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2019-07-29T11:02:38Z</dcterms:modified>
  <cp:category/>
  <cp:version/>
  <cp:contentType/>
  <cp:contentStatus/>
</cp:coreProperties>
</file>