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<sst xmlns="http://schemas.openxmlformats.org/spreadsheetml/2006/main" count="4299" uniqueCount="1004">
  <si>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</si>
  <si>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</si>
  <si>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</si>
  <si>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</si>
  <si>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</si>
  <si>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</si>
  <si>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</si>
  <si>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</si>
  <si>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</si>
  <si>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</si>
  <si>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</si>
  <si>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</si>
  <si>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</si>
  <si>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</si>
  <si>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</si>
  <si>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</si>
  <si>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</si>
  <si>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</si>
  <si>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</si>
  <si>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</si>
  <si>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</si>
  <si>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</si>
  <si>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</si>
  <si>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</si>
  <si>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</si>
  <si>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</si>
  <si>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</si>
  <si>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</si>
  <si>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</si>
  <si>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</si>
  <si>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</si>
  <si>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</si>
  <si>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</si>
  <si>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</si>
  <si>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</si>
  <si>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</si>
  <si>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</si>
  <si>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</si>
  <si>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</si>
  <si>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</si>
  <si>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</si>
  <si>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</si>
  <si>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</si>
  <si>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</si>
  <si>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</si>
  <si>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</si>
  <si>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</si>
  <si>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</si>
  <si>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</si>
  <si>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</si>
  <si>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</si>
  <si>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</si>
  <si>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</si>
  <si>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</si>
  <si>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</si>
  <si>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</si>
  <si>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</si>
  <si>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</si>
  <si>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</si>
  <si>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</si>
  <si>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</si>
  <si>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</si>
  <si>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</si>
  <si>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</si>
  <si>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</si>
  <si>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</si>
  <si>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</si>
  <si>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</si>
  <si>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</si>
  <si>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</si>
  <si>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</si>
  <si>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</si>
  <si>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</si>
  <si>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</si>
  <si>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</si>
  <si>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</si>
  <si>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</si>
  <si>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</si>
  <si>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</si>
  <si>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</si>
  <si>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</si>
  <si>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</si>
  <si>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</si>
  <si>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</si>
  <si>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</si>
  <si>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</si>
  <si>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</si>
  <si>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</si>
  <si>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</si>
  <si>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</si>
  <si>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</si>
  <si>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</si>
  <si>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</si>
  <si>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</si>
  <si>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</si>
  <si>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</si>
  <si>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</si>
  <si>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</si>
  <si>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</si>
  <si>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</si>
  <si>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</si>
  <si>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</si>
  <si>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</si>
  <si>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</si>
  <si>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</si>
  <si>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</si>
  <si>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</si>
  <si>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</si>
  <si>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</si>
  <si>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</si>
  <si>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</si>
  <si>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</si>
  <si>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</si>
  <si>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</si>
  <si>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</si>
  <si>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</si>
  <si>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</si>
  <si>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</si>
  <si>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</si>
  <si>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</si>
  <si>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</si>
  <si>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</si>
  <si>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</si>
  <si>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</si>
  <si>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</si>
  <si>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</si>
  <si>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</si>
  <si>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</si>
  <si>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</si>
  <si>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</si>
  <si>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</si>
  <si>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</si>
  <si>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</si>
  <si>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</si>
  <si>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</si>
  <si>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</si>
  <si>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</si>
  <si>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</si>
  <si>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</si>
  <si>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</si>
  <si>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</si>
  <si>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</si>
  <si>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</si>
  <si>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</si>
  <si>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</si>
  <si>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</si>
  <si>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</si>
  <si>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</si>
  <si>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</si>
  <si>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</si>
  <si>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</si>
  <si>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</si>
  <si>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</si>
  <si>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</si>
  <si>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</si>
  <si>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</si>
  <si>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</si>
  <si>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</si>
  <si>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</si>
  <si>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</si>
  <si>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</si>
  <si>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</si>
  <si>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</si>
  <si>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</si>
  <si>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</si>
  <si>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</si>
  <si>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</si>
  <si>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</si>
  <si>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</si>
  <si>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</si>
  <si>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</si>
  <si>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</si>
  <si>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</si>
  <si>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</si>
  <si>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</si>
  <si>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</si>
  <si>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</si>
  <si>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</si>
  <si>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</si>
  <si>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</si>
  <si>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</si>
  <si>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</si>
  <si>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</si>
  <si>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</si>
  <si>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</si>
  <si>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</si>
  <si>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</si>
  <si>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</si>
  <si>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</si>
  <si>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</si>
  <si>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</si>
  <si>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</si>
  <si>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</si>
  <si>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</si>
  <si>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</si>
  <si>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</si>
  <si>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</si>
  <si>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</si>
  <si>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</si>
  <si>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</si>
  <si>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</si>
  <si>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</si>
  <si>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</si>
  <si>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</si>
  <si>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</si>
  <si>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</si>
  <si>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</si>
  <si>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</si>
  <si>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</si>
  <si>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</si>
  <si>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</si>
  <si>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</si>
  <si>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</si>
  <si>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</si>
  <si>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</si>
  <si>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</si>
  <si>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</si>
  <si>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</si>
  <si>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</si>
  <si>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</si>
  <si>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</si>
  <si>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</si>
  <si>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</si>
  <si>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</si>
  <si>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</si>
  <si>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</si>
  <si>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</si>
  <si>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</si>
  <si>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</si>
  <si>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</si>
  <si>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</si>
  <si>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</si>
  <si>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</si>
  <si>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</si>
  <si>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</si>
  <si>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</si>
  <si>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</si>
  <si>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</si>
  <si>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</si>
  <si>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</si>
  <si>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</si>
  <si>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</si>
  <si>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</si>
  <si>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</si>
  <si>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</si>
  <si>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</si>
  <si>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</si>
  <si>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</si>
  <si>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</si>
  <si>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</si>
  <si>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</si>
  <si>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</si>
  <si>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</si>
  <si>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</si>
  <si>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</si>
  <si>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</si>
  <si>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</si>
  <si>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</si>
  <si>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</si>
  <si>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</si>
  <si>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</si>
  <si>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</si>
  <si>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</si>
  <si>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</si>
  <si>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</si>
  <si>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</si>
  <si>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</si>
  <si>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</si>
  <si>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</si>
  <si>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</si>
  <si>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</si>
  <si>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</si>
  <si>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</si>
  <si>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</si>
  <si>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</si>
  <si>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</si>
  <si>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</si>
  <si>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</si>
  <si>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</si>
  <si>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</si>
  <si>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</si>
  <si>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</si>
  <si>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</si>
  <si>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</si>
  <si>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</si>
  <si>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</si>
  <si>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</si>
  <si>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</si>
  <si>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</si>
  <si>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</si>
  <si>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</si>
  <si>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</si>
  <si>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</si>
  <si>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</si>
  <si>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</si>
  <si>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</si>
  <si>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</si>
  <si>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</si>
  <si>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</si>
  <si>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</si>
  <si>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</si>
  <si>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</si>
  <si>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</si>
  <si>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</si>
  <si>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</si>
  <si>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</si>
  <si>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</si>
  <si>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</si>
  <si>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</si>
  <si>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</si>
  <si>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</si>
  <si>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</si>
  <si>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</si>
  <si>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</si>
  <si>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</si>
  <si>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</si>
  <si>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</si>
  <si>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</si>
  <si>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</si>
  <si>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</si>
  <si>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</si>
  <si>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</si>
  <si>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</si>
  <si>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</si>
  <si>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</si>
  <si>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</si>
  <si>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</si>
  <si>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</si>
  <si>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</si>
  <si>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</si>
  <si>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</si>
  <si>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</si>
  <si>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</si>
  <si>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</si>
  <si>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</si>
  <si>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</si>
  <si>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</si>
  <si>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</si>
  <si>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</si>
  <si>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</si>
  <si>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</si>
  <si>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</si>
  <si>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</si>
  <si>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</si>
  <si>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</si>
  <si>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</si>
  <si>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</si>
  <si>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</si>
  <si>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</si>
  <si>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</si>
  <si>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</si>
  <si>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</si>
  <si>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</si>
  <si>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</si>
  <si>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</si>
  <si>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</si>
  <si>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</si>
  <si>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</si>
  <si>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</si>
  <si>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</si>
  <si>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</si>
  <si>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</si>
  <si>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</si>
  <si>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</si>
  <si>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</si>
  <si>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</si>
  <si>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</si>
  <si>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</si>
  <si>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</si>
  <si>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</si>
  <si>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</si>
  <si>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</si>
  <si>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</si>
  <si>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</si>
  <si>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</si>
  <si>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</si>
  <si>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</si>
  <si>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</si>
  <si>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</si>
  <si>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</si>
  <si>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</si>
  <si>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</si>
  <si>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</si>
  <si>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</si>
  <si>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</si>
  <si>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</si>
  <si>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</si>
  <si>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</si>
  <si>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</si>
  <si>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</si>
  <si>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</si>
  <si>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</si>
  <si>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</si>
  <si>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</si>
  <si>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</si>
  <si>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</si>
  <si>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</si>
  <si>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</si>
  <si>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</si>
  <si>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</si>
  <si>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</si>
  <si>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</si>
  <si>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</si>
  <si>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</si>
  <si>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</si>
  <si>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</si>
  <si>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</si>
  <si>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</si>
  <si>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</si>
  <si>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</si>
  <si>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</si>
  <si>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</si>
  <si>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</si>
  <si>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</si>
  <si>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</si>
  <si>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</si>
  <si>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</si>
  <si>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</si>
  <si>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</si>
  <si>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</si>
  <si>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</si>
  <si>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</si>
  <si>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</si>
  <si>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</si>
  <si>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</si>
  <si>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</si>
  <si>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</si>
  <si>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</si>
  <si>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</si>
  <si>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</si>
  <si>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</si>
  <si>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</si>
  <si>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</si>
  <si>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</si>
  <si>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</si>
  <si>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</si>
  <si>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</si>
  <si>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</si>
  <si>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</si>
  <si>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</si>
  <si>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</si>
  <si>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</si>
  <si>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</si>
  <si>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</si>
  <si>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</si>
  <si>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</si>
  <si>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</si>
  <si>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</si>
  <si>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</si>
  <si>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</si>
  <si>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</si>
  <si>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</si>
  <si>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</si>
  <si>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</si>
  <si>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</si>
  <si>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</si>
  <si>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</si>
  <si>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</si>
  <si>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</si>
  <si>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</si>
  <si>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</si>
  <si>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</si>
  <si>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</si>
  <si>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</si>
  <si>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</si>
  <si>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</si>
  <si>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</si>
  <si>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</si>
  <si>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</si>
  <si>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</si>
  <si>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</si>
  <si>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</si>
  <si>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</si>
  <si>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</si>
  <si>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</si>
  <si>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</si>
  <si>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</si>
  <si>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</si>
  <si>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</si>
  <si>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</si>
  <si>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</si>
  <si>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</si>
  <si>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</si>
  <si>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</si>
  <si>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</si>
  <si>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</si>
  <si>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</si>
  <si>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</si>
  <si>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</si>
  <si>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</si>
  <si>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</si>
  <si>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</si>
  <si>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</si>
  <si>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</si>
  <si>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</si>
  <si>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</si>
  <si>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</si>
  <si>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</si>
  <si>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</si>
  <si>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</si>
  <si>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</si>
  <si>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</si>
  <si>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</si>
  <si>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</si>
  <si>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</si>
  <si>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</si>
  <si>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</si>
  <si>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</si>
  <si>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</si>
  <si>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</si>
  <si>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</si>
  <si>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</si>
  <si>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</si>
  <si>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</si>
  <si>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</si>
  <si>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</si>
  <si>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</si>
  <si>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</si>
  <si>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</si>
  <si>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</si>
  <si>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</si>
  <si>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</si>
  <si>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</si>
  <si>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</si>
  <si>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</si>
  <si>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</si>
  <si>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</si>
  <si>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</si>
  <si>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</si>
  <si>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</si>
  <si>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</si>
  <si>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</si>
  <si>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</si>
  <si>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</si>
  <si>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</si>
  <si>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</si>
  <si>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</si>
  <si>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</si>
  <si>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</si>
  <si>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</si>
  <si>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</si>
  <si>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</si>
  <si>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</si>
  <si>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</si>
  <si>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</si>
  <si>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</si>
  <si>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</si>
  <si>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</si>
  <si>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</si>
  <si>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</si>
  <si>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</si>
  <si>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</si>
  <si>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</si>
  <si>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</si>
  <si>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</si>
  <si>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</si>
  <si>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</si>
  <si>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</si>
  <si>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</si>
  <si>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</si>
  <si>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</si>
  <si>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</si>
  <si>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</si>
  <si>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</si>
  <si>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</si>
  <si>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</si>
  <si>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</si>
  <si>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</si>
  <si>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</si>
  <si>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</si>
  <si>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</si>
  <si>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</si>
  <si>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</si>
  <si>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</si>
  <si>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</si>
  <si>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</si>
  <si>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</si>
  <si>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</si>
  <si>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</si>
  <si>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</si>
  <si>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</si>
  <si>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</si>
  <si>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</si>
  <si>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</si>
  <si>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</si>
  <si>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</si>
  <si>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</si>
  <si>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</si>
  <si>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</si>
  <si>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</si>
  <si>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</si>
  <si>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</si>
  <si>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</si>
  <si>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</si>
  <si>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</si>
  <si>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</si>
  <si>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</si>
  <si>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</si>
  <si>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</si>
  <si>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</si>
  <si>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</si>
  <si>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</si>
  <si>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</si>
  <si>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</si>
  <si>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</si>
  <si>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</si>
  <si>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</si>
  <si>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</si>
  <si>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</si>
  <si>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</si>
  <si>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</si>
  <si>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</si>
  <si>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</si>
  <si>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</si>
  <si>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</si>
  <si>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</si>
  <si>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</si>
  <si>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</si>
  <si>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</si>
  <si>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</si>
  <si>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</si>
  <si>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</si>
  <si>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</si>
  <si>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</si>
  <si>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</si>
  <si>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</si>
  <si>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</si>
  <si>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</si>
  <si>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</si>
  <si>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</si>
  <si>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</si>
  <si>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</si>
  <si>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</si>
  <si>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</si>
  <si>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</si>
  <si>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</si>
  <si>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</si>
  <si>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</si>
  <si>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</si>
  <si>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</si>
  <si>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</si>
  <si>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</si>
  <si>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</si>
  <si>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</si>
  <si>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</si>
  <si>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</si>
  <si>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</si>
  <si>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</si>
  <si>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</si>
  <si>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</si>
  <si>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</si>
  <si>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</si>
  <si>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</si>
  <si>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</si>
  <si>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</si>
  <si>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</si>
  <si>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</si>
  <si>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</si>
  <si>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</si>
  <si>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</si>
  <si>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</si>
  <si>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</si>
  <si>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</si>
  <si>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</si>
  <si>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</si>
  <si>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</si>
  <si>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</si>
  <si>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</si>
  <si>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</si>
  <si>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</si>
  <si>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</si>
  <si>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</si>
  <si>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</si>
  <si>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</si>
  <si>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</si>
  <si>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</si>
  <si>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</si>
  <si>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</si>
  <si>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</si>
  <si>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</si>
  <si>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</si>
  <si>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</si>
  <si>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</si>
  <si>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</si>
  <si>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</si>
  <si>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</si>
  <si>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</si>
  <si>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</si>
  <si>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</si>
  <si>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</si>
  <si>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</si>
  <si>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</si>
  <si>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</si>
  <si>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</si>
  <si>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</si>
  <si>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</si>
  <si>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</si>
  <si>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</si>
  <si>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</si>
  <si>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</si>
  <si>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</si>
  <si>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</si>
  <si>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</si>
  <si>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</si>
  <si>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</si>
  <si>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</si>
  <si>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</si>
  <si>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</si>
  <si>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</si>
  <si>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</si>
  <si>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</si>
  <si>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</si>
  <si>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</si>
  <si>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</si>
  <si>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</si>
  <si>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</si>
  <si>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</si>
  <si>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</si>
  <si>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</si>
  <si>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</si>
  <si>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</si>
  <si>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</si>
  <si>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</si>
  <si>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</si>
  <si>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</si>
  <si>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</si>
  <si>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</si>
  <si>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</si>
  <si>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</si>
  <si>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</si>
  <si>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</si>
  <si>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</si>
  <si>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</si>
  <si>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</si>
  <si>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</si>
  <si>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</si>
  <si>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</si>
  <si>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</si>
  <si>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</si>
  <si>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</si>
  <si>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</si>
  <si>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</si>
  <si>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</si>
  <si>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</si>
  <si>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</si>
  <si>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</si>
  <si>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</si>
  <si>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</si>
  <si>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</si>
  <si>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</si>
  <si>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</si>
  <si>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</si>
  <si>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</si>
  <si>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</si>
  <si>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</si>
  <si>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</si>
  <si>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</si>
  <si>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</si>
  <si>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</si>
  <si>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</si>
  <si>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</si>
  <si>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</si>
  <si>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</si>
  <si>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</si>
  <si>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</si>
  <si>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</si>
  <si>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</si>
  <si>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</si>
  <si>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</si>
  <si>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</si>
  <si>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</si>
  <si>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</si>
  <si>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</si>
  <si>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</si>
  <si>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</si>
  <si>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</si>
  <si>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</si>
  <si>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</si>
  <si>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</si>
  <si>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</si>
  <si>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</si>
  <si>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</si>
  <si>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</si>
  <si>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</si>
  <si>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</si>
  <si>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</si>
  <si>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</si>
  <si>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</si>
  <si>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</si>
  <si>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</si>
  <si>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</si>
  <si>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</si>
  <si>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</si>
  <si>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</si>
  <si>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</si>
  <si>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</si>
  <si>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</si>
  <si>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</si>
  <si>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</si>
  <si>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</si>
  <si>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</si>
  <si>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</si>
  <si>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</si>
  <si>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</si>
  <si>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</si>
  <si>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</si>
  <si>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</si>
  <si>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</si>
  <si>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</si>
  <si>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</si>
  <si>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</si>
  <si>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</si>
  <si>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</si>
  <si>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</si>
  <si>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</si>
  <si>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</si>
  <si>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</si>
  <si>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</si>
  <si>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</si>
  <si>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</si>
  <si>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</si>
  <si>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</si>
  <si>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</si>
  <si>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</si>
  <si>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</si>
  <si>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</si>
  <si>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</si>
  <si>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</si>
  <si>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</si>
  <si>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</si>
  <si>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</si>
  <si>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</si>
  <si>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</si>
  <si>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</si>
  <si>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</si>
  <si>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</si>
  <si>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</si>
  <si>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</si>
  <si>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</si>
  <si>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</si>
  <si>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</si>
  <si>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</si>
  <si>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</si>
  <si>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</si>
  <si>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</si>
  <si>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</si>
  <si>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</si>
  <si>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</si>
  <si>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</si>
  <si>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</si>
  <si>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</si>
  <si>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</si>
  <si>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</si>
  <si>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</si>
  <si>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</si>
  <si>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</si>
  <si>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</si>
  <si>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</si>
  <si>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</si>
  <si>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</si>
  <si>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</si>
  <si>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</si>
  <si>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</si>
  <si>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</si>
  <si>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</si>
  <si>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</si>
  <si>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</si>
  <si>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</si>
  <si>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</si>
  <si>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</si>
  <si>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</si>
  <si>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</si>
  <si>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</si>
  <si>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</si>
  <si>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</si>
  <si>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</si>
  <si>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</si>
  <si>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</si>
  <si>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</si>
  <si>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</si>
  <si>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</si>
  <si>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</si>
  <si>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</si>
  <si>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</si>
  <si>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</si>
  <si>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</si>
  <si>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</si>
  <si>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</si>
  <si>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</si>
  <si>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</si>
  <si>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</si>
  <si>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</si>
  <si>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</si>
  <si>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</si>
  <si>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</si>
  <si>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</si>
  <si>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</si>
  <si>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</si>
  <si>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</si>
  <si>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</si>
  <si>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</si>
  <si>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</si>
  <si>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</si>
  <si>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</si>
  <si>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</si>
  <si>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</si>
  <si>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</si>
  <si>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</si>
  <si>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</si>
  <si>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</si>
  <si>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</si>
  <si>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</si>
  <si>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</si>
  <si>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</si>
  <si>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</si>
  <si>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</si>
  <si>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</si>
  <si>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</si>
  <si>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</si>
  <si>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</si>
  <si>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</si>
  <si>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</si>
  <si>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</si>
  <si>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</si>
  <si>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</si>
  <si>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</si>
  <si>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</si>
  <si>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</si>
  <si>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</si>
  <si>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</si>
  <si>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</si>
  <si>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</si>
  <si>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</si>
  <si>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</si>
  <si>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</si>
  <si>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</si>
  <si>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</si>
  <si>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</si>
  <si>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</si>
  <si>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</si>
  <si>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</si>
  <si>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</si>
  <si>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</si>
  <si>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</si>
  <si>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</si>
  <si>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</si>
  <si>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</si>
  <si>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</si>
  <si>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</si>
  <si>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</si>
  <si>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</si>
  <si>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</si>
  <si>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</si>
  <si>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</si>
  <si>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</si>
  <si>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</si>
  <si>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</si>
  <si>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</si>
  <si>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</si>
  <si>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</si>
  <si>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</si>
  <si>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</si>
  <si>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</si>
  <si>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</si>
  <si>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</si>
  <si>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</si>
  <si>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</si>
  <si>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</si>
  <si>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</si>
  <si>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</si>
  <si>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</si>
  <si>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</si>
  <si>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</si>
  <si>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</si>
  <si>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</si>
  <si>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</si>
  <si>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</si>
  <si>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</si>
  <si>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</si>
  <si>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</si>
  <si>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</si>
  <si>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</si>
  <si>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</si>
  <si>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</si>
  <si>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</si>
  <si>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</si>
  <si>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</si>
  <si>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</si>
  <si>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</si>
  <si>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</si>
  <si>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</si>
  <si>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</si>
  <si>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</si>
  <si>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</si>
  <si>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</si>
  <si>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</si>
  <si>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www.investor.bg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</si>
  <si>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</si>
  <si>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</si>
  <si>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</si>
  <si>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</si>
  <si>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</si>
  <si>
    <t>гр. София, бул. "Тодор Александров" №137, ет.6, офис А16</t>
  </si>
  <si>
    <t>Ръководител, 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</si>
</sst>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43830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43860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Николай Колев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43466</v>
      </c>
    </row>
    <row r="10" spans="1:2" ht="15.75">
      <c r="A10" s="7" t="s">
        <v>2</v>
      </c>
      <c r="B10" s="576">
        <v>43830</v>
      </c>
    </row>
    <row r="11" spans="1:2" ht="15.75">
      <c r="A11" s="7" t="s">
        <v>977</v>
      </c>
      <c r="B11" s="576">
        <v>43860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988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989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 t="s">
        <v>991</v>
      </c>
    </row>
    <row r="19" spans="1:2" ht="15.75">
      <c r="A19" s="7" t="s">
        <v>4</v>
      </c>
      <c r="B19" s="575" t="s">
        <v>1002</v>
      </c>
    </row>
    <row r="20" spans="1:2" ht="15.75">
      <c r="A20" s="7" t="s">
        <v>5</v>
      </c>
      <c r="B20" s="575" t="s">
        <v>1002</v>
      </c>
    </row>
    <row r="21" spans="1:2" ht="15.75">
      <c r="A21" s="10" t="s">
        <v>6</v>
      </c>
      <c r="B21" s="577" t="s">
        <v>992</v>
      </c>
    </row>
    <row r="22" spans="1:2" ht="15.75">
      <c r="A22" s="10" t="s">
        <v>917</v>
      </c>
      <c r="B22" s="577" t="s">
        <v>993</v>
      </c>
    </row>
    <row r="23" spans="1:2" ht="15.75">
      <c r="A23" s="10" t="s">
        <v>7</v>
      </c>
      <c r="B23" s="686" t="s">
        <v>994</v>
      </c>
    </row>
    <row r="24" spans="1:2" ht="15.75">
      <c r="A24" s="10" t="s">
        <v>918</v>
      </c>
      <c r="B24" s="687" t="s">
        <v>995</v>
      </c>
    </row>
    <row r="25" spans="1:2" ht="15.75">
      <c r="A25" s="7" t="s">
        <v>921</v>
      </c>
      <c r="B25" s="688" t="s">
        <v>996</v>
      </c>
    </row>
    <row r="26" spans="1:2" ht="15.75">
      <c r="A26" s="10" t="s">
        <v>970</v>
      </c>
      <c r="B26" s="577" t="s">
        <v>997</v>
      </c>
    </row>
    <row r="27" spans="1:2" ht="15.75">
      <c r="A27" s="10" t="s">
        <v>971</v>
      </c>
      <c r="B27" s="577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ТОДОРОВ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01.01.2019 г. до 31.12.2019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983</v>
      </c>
      <c r="B6" s="664" t="s">
        <v>946</v>
      </c>
      <c r="C6" s="671">
        <f>'1-Баланс'!C95</f>
        <v>2621</v>
      </c>
      <c r="D6" s="672">
        <f aca="true" t="shared" si="0" ref="D6:D15">C6-E6</f>
        <v>0</v>
      </c>
      <c r="E6" s="671">
        <f>'1-Баланс'!G95</f>
        <v>2621</v>
      </c>
      <c r="F6" s="665" t="s">
        <v>947</v>
      </c>
      <c r="G6" s="673" t="s">
        <v>983</v>
      </c>
    </row>
    <row r="7" spans="1:7" ht="18.75" customHeight="1">
      <c r="A7" s="673" t="s">
        <v>983</v>
      </c>
      <c r="B7" s="664" t="s">
        <v>945</v>
      </c>
      <c r="C7" s="671">
        <f>'1-Баланс'!G37</f>
        <v>335</v>
      </c>
      <c r="D7" s="672">
        <f t="shared" si="0"/>
        <v>-3065</v>
      </c>
      <c r="E7" s="671">
        <f>'1-Баланс'!G18</f>
        <v>3400</v>
      </c>
      <c r="F7" s="665" t="s">
        <v>455</v>
      </c>
      <c r="G7" s="673" t="s">
        <v>983</v>
      </c>
    </row>
    <row r="8" spans="1:7" ht="18.75" customHeight="1">
      <c r="A8" s="673" t="s">
        <v>983</v>
      </c>
      <c r="B8" s="664" t="s">
        <v>943</v>
      </c>
      <c r="C8" s="671">
        <f>ABS('1-Баланс'!G32)-ABS('1-Баланс'!G33)</f>
        <v>99</v>
      </c>
      <c r="D8" s="672">
        <f t="shared" si="0"/>
        <v>0</v>
      </c>
      <c r="E8" s="671">
        <f>ABS('2-Отчет за доходите'!C44)-ABS('2-Отчет за доходите'!G44)</f>
        <v>99</v>
      </c>
      <c r="F8" s="665" t="s">
        <v>944</v>
      </c>
      <c r="G8" s="674" t="s">
        <v>985</v>
      </c>
    </row>
    <row r="9" spans="1:7" ht="18.75" customHeight="1">
      <c r="A9" s="673" t="s">
        <v>983</v>
      </c>
      <c r="B9" s="664" t="s">
        <v>949</v>
      </c>
      <c r="C9" s="671">
        <f>'1-Баланс'!D92</f>
        <v>70</v>
      </c>
      <c r="D9" s="672">
        <f t="shared" si="0"/>
        <v>0</v>
      </c>
      <c r="E9" s="671">
        <f>'3-Отчет за паричния поток'!C45</f>
        <v>70</v>
      </c>
      <c r="F9" s="665" t="s">
        <v>948</v>
      </c>
      <c r="G9" s="674" t="s">
        <v>984</v>
      </c>
    </row>
    <row r="10" spans="1:7" ht="18.75" customHeight="1">
      <c r="A10" s="673" t="s">
        <v>983</v>
      </c>
      <c r="B10" s="664" t="s">
        <v>950</v>
      </c>
      <c r="C10" s="671">
        <f>'1-Баланс'!C92</f>
        <v>5</v>
      </c>
      <c r="D10" s="672">
        <f t="shared" si="0"/>
        <v>0</v>
      </c>
      <c r="E10" s="671">
        <f>'3-Отчет за паричния поток'!C46</f>
        <v>5</v>
      </c>
      <c r="F10" s="665" t="s">
        <v>951</v>
      </c>
      <c r="G10" s="674" t="s">
        <v>984</v>
      </c>
    </row>
    <row r="11" spans="1:7" ht="18.75" customHeight="1">
      <c r="A11" s="673" t="s">
        <v>983</v>
      </c>
      <c r="B11" s="664" t="s">
        <v>945</v>
      </c>
      <c r="C11" s="671">
        <f>'1-Баланс'!G37</f>
        <v>335</v>
      </c>
      <c r="D11" s="672">
        <f t="shared" si="0"/>
        <v>0</v>
      </c>
      <c r="E11" s="671">
        <f>'4-Отчет за собствения капитал'!L34</f>
        <v>335</v>
      </c>
      <c r="F11" s="665" t="s">
        <v>952</v>
      </c>
      <c r="G11" s="674" t="s">
        <v>986</v>
      </c>
    </row>
    <row r="12" spans="1:7" ht="18.75" customHeight="1">
      <c r="A12" s="673" t="s">
        <v>983</v>
      </c>
      <c r="B12" s="664" t="s">
        <v>953</v>
      </c>
      <c r="C12" s="671">
        <f>'1-Баланс'!C36</f>
        <v>1127</v>
      </c>
      <c r="D12" s="672">
        <f t="shared" si="0"/>
        <v>0</v>
      </c>
      <c r="E12" s="671">
        <f>'Справка 5'!C27+'Справка 5'!C97</f>
        <v>1127</v>
      </c>
      <c r="F12" s="665" t="s">
        <v>957</v>
      </c>
      <c r="G12" s="674" t="s">
        <v>987</v>
      </c>
    </row>
    <row r="13" spans="1:7" ht="18.75" customHeight="1">
      <c r="A13" s="673" t="s">
        <v>983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987</v>
      </c>
    </row>
    <row r="14" spans="1:7" ht="18.75" customHeight="1">
      <c r="A14" s="673" t="s">
        <v>983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987</v>
      </c>
    </row>
    <row r="15" spans="1:7" ht="18.75" customHeight="1">
      <c r="A15" s="673" t="s">
        <v>983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0.033765347885402454</v>
      </c>
      <c r="E3" s="643"/>
    </row>
    <row r="4" spans="1:4" ht="31.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0.2955223880597015</v>
      </c>
    </row>
    <row r="5" spans="1:4" ht="31.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0.04330708661417323</v>
      </c>
    </row>
    <row r="6" spans="1:4" ht="31.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0.03777184280808851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1.0399590163934427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90">
        <v>6</v>
      </c>
      <c r="B10" s="588" t="s">
        <v>896</v>
      </c>
      <c r="C10" s="589" t="s">
        <v>897</v>
      </c>
      <c r="D10" s="638">
        <f>'1-Баланс'!C94/'1-Баланс'!G79</f>
        <v>0.3920879120879121</v>
      </c>
    </row>
    <row r="11" spans="1:4" ht="63">
      <c r="A11" s="590">
        <v>7</v>
      </c>
      <c r="B11" s="588" t="s">
        <v>898</v>
      </c>
      <c r="C11" s="589" t="s">
        <v>966</v>
      </c>
      <c r="D11" s="638">
        <f>('1-Баланс'!C76+'1-Баланс'!C85+'1-Баланс'!C92)/'1-Баланс'!G79</f>
        <v>0.23076923076923078</v>
      </c>
    </row>
    <row r="12" spans="1:4" ht="47.25">
      <c r="A12" s="590">
        <v>8</v>
      </c>
      <c r="B12" s="588" t="s">
        <v>899</v>
      </c>
      <c r="C12" s="589" t="s">
        <v>967</v>
      </c>
      <c r="D12" s="638">
        <f>('1-Баланс'!C85+'1-Баланс'!C92)/'1-Баланс'!G79</f>
        <v>0.002197802197802198</v>
      </c>
    </row>
    <row r="13" spans="1:4" ht="31.5">
      <c r="A13" s="590">
        <v>9</v>
      </c>
      <c r="B13" s="588" t="s">
        <v>900</v>
      </c>
      <c r="C13" s="589" t="s">
        <v>901</v>
      </c>
      <c r="D13" s="638">
        <f>'1-Баланс'!C92/'1-Баланс'!G79</f>
        <v>0.002197802197802198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6.360086767895878</v>
      </c>
    </row>
    <row r="16" spans="1:4" ht="31.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1.1186570011446013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90">
        <v>12</v>
      </c>
      <c r="B18" s="588" t="s">
        <v>932</v>
      </c>
      <c r="C18" s="589" t="s">
        <v>904</v>
      </c>
      <c r="D18" s="638">
        <f>'1-Баланс'!G56/('1-Баланс'!G37+'1-Баланс'!G56)</f>
        <v>0.031791907514450865</v>
      </c>
    </row>
    <row r="19" spans="1:4" ht="31.5">
      <c r="A19" s="590">
        <v>13</v>
      </c>
      <c r="B19" s="588" t="s">
        <v>933</v>
      </c>
      <c r="C19" s="589" t="s">
        <v>906</v>
      </c>
      <c r="D19" s="638">
        <f>D4/D5</f>
        <v>6.823880597014925</v>
      </c>
    </row>
    <row r="20" spans="1:4" ht="31.5">
      <c r="A20" s="590">
        <v>14</v>
      </c>
      <c r="B20" s="588" t="s">
        <v>907</v>
      </c>
      <c r="C20" s="589" t="s">
        <v>908</v>
      </c>
      <c r="D20" s="638">
        <f>D6/D5</f>
        <v>0.8721861884776803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186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4">
        <f>D21/'1-Баланс'!G37</f>
        <v>0.5552238805970149</v>
      </c>
    </row>
    <row r="23" spans="1:4" ht="31.5">
      <c r="A23" s="590">
        <v>17</v>
      </c>
      <c r="B23" s="588" t="s">
        <v>979</v>
      </c>
      <c r="C23" s="589" t="s">
        <v>980</v>
      </c>
      <c r="D23" s="644">
        <f>(D21+'2-Отчет за доходите'!C14)/'2-Отчет за доходите'!G31</f>
        <v>0.06568144499178982</v>
      </c>
    </row>
    <row r="24" spans="1:4" ht="31.5">
      <c r="A24" s="590">
        <v>18</v>
      </c>
      <c r="B24" s="588" t="s">
        <v>981</v>
      </c>
      <c r="C24" s="589" t="s">
        <v>982</v>
      </c>
      <c r="D24" s="644">
        <f>('1-Баланс'!G56+'1-Баланс'!G79)/(D21+'2-Отчет за доходите'!C14)</f>
        <v>11.43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79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50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79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79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79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79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79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79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79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79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93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79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79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79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79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79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79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79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79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79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79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79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79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79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79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79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79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79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79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79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79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79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79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79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399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79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79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79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79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399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79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79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108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79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1729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79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113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79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50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79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14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79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189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79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79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79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366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79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218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79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300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79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79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79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79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79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79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79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520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79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79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79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79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79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79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79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79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79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79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79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79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79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79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892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79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2621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79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79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79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79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79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79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79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79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79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79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79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79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79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79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500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79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-3664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79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858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79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-4522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79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79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99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79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79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-3565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79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335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79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79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79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79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79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79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79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79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79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79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79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79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79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79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79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79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2275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79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384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79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194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79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1143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79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84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79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79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137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79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307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79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79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79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2275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79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79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79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79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2275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79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2621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79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180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79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309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79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14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79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390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79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62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79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1258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79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409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79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237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79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120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79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79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2859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79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69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79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79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79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0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79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69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79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2928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79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117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79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79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79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2928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79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117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79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18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79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79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18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79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79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99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79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79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99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79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3045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79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869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79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57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79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351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79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1655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79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2932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79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113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79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113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79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79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79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79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79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79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79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3045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79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79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79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79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3045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79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79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79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79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79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3045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79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799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79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-456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79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79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-360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79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-46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79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79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79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79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79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79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-65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79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79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79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79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79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79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79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79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79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79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79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0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79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79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79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79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0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79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79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79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79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79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0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79">
        <f t="shared" si="20"/>
        <v>43830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-65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79">
        <f t="shared" si="20"/>
        <v>43830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70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79">
        <f t="shared" si="20"/>
        <v>43830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5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79">
        <f t="shared" si="20"/>
        <v>43830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5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79">
        <f t="shared" si="20"/>
        <v>43830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79">
        <f aca="true" t="shared" si="23" ref="C218:C281">endDate</f>
        <v>43830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79">
        <f t="shared" si="23"/>
        <v>43830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79">
        <f t="shared" si="23"/>
        <v>43830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79">
        <f t="shared" si="23"/>
        <v>43830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79">
        <f t="shared" si="23"/>
        <v>43830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79">
        <f t="shared" si="23"/>
        <v>43830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79">
        <f t="shared" si="23"/>
        <v>43830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79">
        <f t="shared" si="23"/>
        <v>43830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79">
        <f t="shared" si="23"/>
        <v>43830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79">
        <f t="shared" si="23"/>
        <v>43830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79">
        <f t="shared" si="23"/>
        <v>43830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79">
        <f t="shared" si="23"/>
        <v>43830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79">
        <f t="shared" si="23"/>
        <v>43830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79">
        <f t="shared" si="23"/>
        <v>43830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79">
        <f t="shared" si="23"/>
        <v>43830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79">
        <f t="shared" si="23"/>
        <v>43830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79">
        <f t="shared" si="23"/>
        <v>43830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79">
        <f t="shared" si="23"/>
        <v>43830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79">
        <f t="shared" si="23"/>
        <v>43830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79">
        <f t="shared" si="23"/>
        <v>43830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79">
        <f t="shared" si="23"/>
        <v>43830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79">
        <f t="shared" si="23"/>
        <v>43830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79">
        <f t="shared" si="23"/>
        <v>43830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79">
        <f t="shared" si="23"/>
        <v>43830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79">
        <f t="shared" si="23"/>
        <v>43830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79">
        <f t="shared" si="23"/>
        <v>43830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79">
        <f t="shared" si="23"/>
        <v>43830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79">
        <f t="shared" si="23"/>
        <v>43830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79">
        <f t="shared" si="23"/>
        <v>43830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79">
        <f t="shared" si="23"/>
        <v>43830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79">
        <f t="shared" si="23"/>
        <v>43830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79">
        <f t="shared" si="23"/>
        <v>43830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79">
        <f t="shared" si="23"/>
        <v>43830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79">
        <f t="shared" si="23"/>
        <v>43830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79">
        <f t="shared" si="23"/>
        <v>43830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79">
        <f t="shared" si="23"/>
        <v>43830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79">
        <f t="shared" si="23"/>
        <v>43830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79">
        <f t="shared" si="23"/>
        <v>43830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79">
        <f t="shared" si="23"/>
        <v>43830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79">
        <f t="shared" si="23"/>
        <v>43830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79">
        <f t="shared" si="23"/>
        <v>43830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79">
        <f t="shared" si="23"/>
        <v>43830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79">
        <f t="shared" si="23"/>
        <v>43830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79">
        <f t="shared" si="23"/>
        <v>43830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79">
        <f t="shared" si="23"/>
        <v>43830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210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79">
        <f t="shared" si="23"/>
        <v>43830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79">
        <f t="shared" si="23"/>
        <v>43830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79">
        <f t="shared" si="23"/>
        <v>43830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79">
        <f t="shared" si="23"/>
        <v>43830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210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79">
        <f t="shared" si="23"/>
        <v>43830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79">
        <f t="shared" si="23"/>
        <v>43830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79">
        <f t="shared" si="23"/>
        <v>43830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79">
        <f t="shared" si="23"/>
        <v>43830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79">
        <f t="shared" si="23"/>
        <v>43830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79">
        <f t="shared" si="23"/>
        <v>43830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79">
        <f t="shared" si="23"/>
        <v>43830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79">
        <f t="shared" si="23"/>
        <v>43830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79">
        <f t="shared" si="23"/>
        <v>43830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79">
        <f t="shared" si="23"/>
        <v>43830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79">
        <f t="shared" si="23"/>
        <v>43830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79">
        <f t="shared" si="23"/>
        <v>43830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79">
        <f t="shared" si="23"/>
        <v>43830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-208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79">
        <f t="shared" si="23"/>
        <v>43830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2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79">
        <f t="shared" si="23"/>
        <v>43830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79">
        <f aca="true" t="shared" si="26" ref="C282:C345">endDate</f>
        <v>43830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79">
        <f t="shared" si="26"/>
        <v>43830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2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79">
        <f t="shared" si="26"/>
        <v>43830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79">
        <f t="shared" si="26"/>
        <v>43830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79">
        <f t="shared" si="26"/>
        <v>43830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79">
        <f t="shared" si="26"/>
        <v>43830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79">
        <f t="shared" si="26"/>
        <v>43830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79">
        <f t="shared" si="26"/>
        <v>43830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79">
        <f t="shared" si="26"/>
        <v>43830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79">
        <f t="shared" si="26"/>
        <v>43830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79">
        <f t="shared" si="26"/>
        <v>43830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79">
        <f t="shared" si="26"/>
        <v>43830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79">
        <f t="shared" si="26"/>
        <v>43830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79">
        <f t="shared" si="26"/>
        <v>43830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79">
        <f t="shared" si="26"/>
        <v>43830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79">
        <f t="shared" si="26"/>
        <v>43830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79">
        <f t="shared" si="26"/>
        <v>43830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79">
        <f t="shared" si="26"/>
        <v>43830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79">
        <f t="shared" si="26"/>
        <v>43830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79">
        <f t="shared" si="26"/>
        <v>43830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79">
        <f t="shared" si="26"/>
        <v>43830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79">
        <f t="shared" si="26"/>
        <v>43830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79">
        <f t="shared" si="26"/>
        <v>43830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79">
        <f t="shared" si="26"/>
        <v>43830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79">
        <f t="shared" si="26"/>
        <v>43830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79">
        <f t="shared" si="26"/>
        <v>43830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79">
        <f t="shared" si="26"/>
        <v>43830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79">
        <f t="shared" si="26"/>
        <v>43830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79">
        <f t="shared" si="26"/>
        <v>43830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79">
        <f t="shared" si="26"/>
        <v>43830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79">
        <f t="shared" si="26"/>
        <v>43830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79">
        <f t="shared" si="26"/>
        <v>43830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79">
        <f t="shared" si="26"/>
        <v>43830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79">
        <f t="shared" si="26"/>
        <v>43830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79">
        <f t="shared" si="26"/>
        <v>43830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79">
        <f t="shared" si="26"/>
        <v>43830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79">
        <f t="shared" si="26"/>
        <v>43830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79">
        <f t="shared" si="26"/>
        <v>43830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79">
        <f t="shared" si="26"/>
        <v>43830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79">
        <f t="shared" si="26"/>
        <v>43830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79">
        <f t="shared" si="26"/>
        <v>43830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79">
        <f t="shared" si="26"/>
        <v>43830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79">
        <f t="shared" si="26"/>
        <v>43830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79">
        <f t="shared" si="26"/>
        <v>43830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79">
        <f t="shared" si="26"/>
        <v>43830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79">
        <f t="shared" si="26"/>
        <v>43830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79">
        <f t="shared" si="26"/>
        <v>43830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79">
        <f t="shared" si="26"/>
        <v>43830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79">
        <f t="shared" si="26"/>
        <v>43830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79">
        <f t="shared" si="26"/>
        <v>43830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79">
        <f t="shared" si="26"/>
        <v>43830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79">
        <f t="shared" si="26"/>
        <v>43830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79">
        <f t="shared" si="26"/>
        <v>43830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79">
        <f t="shared" si="26"/>
        <v>43830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79">
        <f t="shared" si="26"/>
        <v>43830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79">
        <f t="shared" si="26"/>
        <v>43830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79">
        <f t="shared" si="26"/>
        <v>43830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79">
        <f t="shared" si="26"/>
        <v>43830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79">
        <f t="shared" si="26"/>
        <v>43830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79">
        <f t="shared" si="26"/>
        <v>43830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79">
        <f t="shared" si="26"/>
        <v>43830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79">
        <f t="shared" si="26"/>
        <v>43830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79">
        <f t="shared" si="26"/>
        <v>43830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79">
        <f t="shared" si="26"/>
        <v>43830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79">
        <f aca="true" t="shared" si="29" ref="C346:C409">endDate</f>
        <v>43830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79">
        <f t="shared" si="29"/>
        <v>43830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79">
        <f t="shared" si="29"/>
        <v>43830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79">
        <f t="shared" si="29"/>
        <v>43830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79">
        <f t="shared" si="29"/>
        <v>43830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650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79">
        <f t="shared" si="29"/>
        <v>43830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79">
        <f t="shared" si="29"/>
        <v>43830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79">
        <f t="shared" si="29"/>
        <v>43830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79">
        <f t="shared" si="29"/>
        <v>43830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650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79">
        <f t="shared" si="29"/>
        <v>43830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99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79">
        <f t="shared" si="29"/>
        <v>43830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79">
        <f t="shared" si="29"/>
        <v>43830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79">
        <f t="shared" si="29"/>
        <v>43830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79">
        <f t="shared" si="29"/>
        <v>43830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79">
        <f t="shared" si="29"/>
        <v>43830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79">
        <f t="shared" si="29"/>
        <v>43830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79">
        <f t="shared" si="29"/>
        <v>43830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79">
        <f t="shared" si="29"/>
        <v>43830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79">
        <f t="shared" si="29"/>
        <v>43830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79">
        <f t="shared" si="29"/>
        <v>43830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79">
        <f t="shared" si="29"/>
        <v>43830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79">
        <f t="shared" si="29"/>
        <v>43830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208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79">
        <f t="shared" si="29"/>
        <v>43830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957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79">
        <f t="shared" si="29"/>
        <v>43830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79">
        <f t="shared" si="29"/>
        <v>43830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79">
        <f t="shared" si="29"/>
        <v>43830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957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79">
        <f t="shared" si="29"/>
        <v>43830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-4522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79">
        <f t="shared" si="29"/>
        <v>43830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79">
        <f t="shared" si="29"/>
        <v>43830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79">
        <f t="shared" si="29"/>
        <v>43830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79">
        <f t="shared" si="29"/>
        <v>43830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-4522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79">
        <f t="shared" si="29"/>
        <v>43830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79">
        <f t="shared" si="29"/>
        <v>43830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79">
        <f t="shared" si="29"/>
        <v>43830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79">
        <f t="shared" si="29"/>
        <v>43830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79">
        <f t="shared" si="29"/>
        <v>43830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79">
        <f t="shared" si="29"/>
        <v>43830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79">
        <f t="shared" si="29"/>
        <v>43830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79">
        <f t="shared" si="29"/>
        <v>43830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79">
        <f t="shared" si="29"/>
        <v>43830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79">
        <f t="shared" si="29"/>
        <v>43830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79">
        <f t="shared" si="29"/>
        <v>43830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79">
        <f t="shared" si="29"/>
        <v>43830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79">
        <f t="shared" si="29"/>
        <v>43830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79">
        <f t="shared" si="29"/>
        <v>43830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-4522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79">
        <f t="shared" si="29"/>
        <v>43830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79">
        <f t="shared" si="29"/>
        <v>43830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79">
        <f t="shared" si="29"/>
        <v>43830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-4522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79">
        <f t="shared" si="29"/>
        <v>43830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79">
        <f t="shared" si="29"/>
        <v>43830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79">
        <f t="shared" si="29"/>
        <v>43830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79">
        <f t="shared" si="29"/>
        <v>43830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79">
        <f t="shared" si="29"/>
        <v>43830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79">
        <f t="shared" si="29"/>
        <v>43830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79">
        <f t="shared" si="29"/>
        <v>43830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79">
        <f t="shared" si="29"/>
        <v>43830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79">
        <f t="shared" si="29"/>
        <v>43830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79">
        <f t="shared" si="29"/>
        <v>43830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79">
        <f t="shared" si="29"/>
        <v>43830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79">
        <f t="shared" si="29"/>
        <v>43830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79">
        <f t="shared" si="29"/>
        <v>43830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79">
        <f t="shared" si="29"/>
        <v>43830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79">
        <f t="shared" si="29"/>
        <v>43830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79">
        <f t="shared" si="29"/>
        <v>43830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79">
        <f aca="true" t="shared" si="32" ref="C410:C459">endDate</f>
        <v>43830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79">
        <f t="shared" si="32"/>
        <v>43830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79">
        <f t="shared" si="32"/>
        <v>43830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79">
        <f t="shared" si="32"/>
        <v>43830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79">
        <f t="shared" si="32"/>
        <v>43830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79">
        <f t="shared" si="32"/>
        <v>43830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79">
        <f t="shared" si="32"/>
        <v>43830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236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79">
        <f t="shared" si="32"/>
        <v>43830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79">
        <f t="shared" si="32"/>
        <v>43830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79">
        <f t="shared" si="32"/>
        <v>43830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79">
        <f t="shared" si="32"/>
        <v>43830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236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79">
        <f t="shared" si="32"/>
        <v>43830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99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79">
        <f t="shared" si="32"/>
        <v>43830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79">
        <f t="shared" si="32"/>
        <v>43830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79">
        <f t="shared" si="32"/>
        <v>43830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79">
        <f t="shared" si="32"/>
        <v>43830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79">
        <f t="shared" si="32"/>
        <v>43830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79">
        <f t="shared" si="32"/>
        <v>43830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79">
        <f t="shared" si="32"/>
        <v>43830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79">
        <f t="shared" si="32"/>
        <v>43830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79">
        <f t="shared" si="32"/>
        <v>43830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79">
        <f t="shared" si="32"/>
        <v>43830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79">
        <f t="shared" si="32"/>
        <v>43830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79">
        <f t="shared" si="32"/>
        <v>43830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79">
        <f t="shared" si="32"/>
        <v>43830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335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79">
        <f t="shared" si="32"/>
        <v>43830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79">
        <f t="shared" si="32"/>
        <v>43830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79">
        <f t="shared" si="32"/>
        <v>43830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335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79">
        <f t="shared" si="32"/>
        <v>43830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79">
        <f t="shared" si="32"/>
        <v>43830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79">
        <f t="shared" si="32"/>
        <v>43830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79">
        <f t="shared" si="32"/>
        <v>43830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79">
        <f t="shared" si="32"/>
        <v>43830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79">
        <f t="shared" si="32"/>
        <v>43830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79">
        <f t="shared" si="32"/>
        <v>43830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79">
        <f t="shared" si="32"/>
        <v>43830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79">
        <f t="shared" si="32"/>
        <v>43830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79">
        <f t="shared" si="32"/>
        <v>43830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79">
        <f t="shared" si="32"/>
        <v>43830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79">
        <f t="shared" si="32"/>
        <v>43830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79">
        <f t="shared" si="32"/>
        <v>43830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79">
        <f t="shared" si="32"/>
        <v>43830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79">
        <f t="shared" si="32"/>
        <v>43830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79">
        <f t="shared" si="32"/>
        <v>43830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79">
        <f t="shared" si="32"/>
        <v>43830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79">
        <f t="shared" si="32"/>
        <v>43830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79">
        <f t="shared" si="32"/>
        <v>43830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79">
        <f t="shared" si="32"/>
        <v>43830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79">
        <f t="shared" si="32"/>
        <v>43830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79">
        <f t="shared" si="32"/>
        <v>43830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79">
        <f aca="true" t="shared" si="35" ref="C461:C524">endDate</f>
        <v>43830</v>
      </c>
      <c r="D461" s="105" t="s">
        <v>523</v>
      </c>
      <c r="E461" s="494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79">
        <f t="shared" si="35"/>
        <v>43830</v>
      </c>
      <c r="D462" s="105" t="s">
        <v>526</v>
      </c>
      <c r="E462" s="494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79">
        <f t="shared" si="35"/>
        <v>43830</v>
      </c>
      <c r="D463" s="105" t="s">
        <v>529</v>
      </c>
      <c r="E463" s="494">
        <v>1</v>
      </c>
      <c r="F463" s="105" t="s">
        <v>528</v>
      </c>
      <c r="H463" s="105">
        <f>'Справка 6'!D13</f>
        <v>11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79">
        <f t="shared" si="35"/>
        <v>43830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79">
        <f t="shared" si="35"/>
        <v>43830</v>
      </c>
      <c r="D465" s="105" t="s">
        <v>535</v>
      </c>
      <c r="E465" s="494">
        <v>1</v>
      </c>
      <c r="F465" s="105" t="s">
        <v>534</v>
      </c>
      <c r="H465" s="105">
        <f>'Справка 6'!D15</f>
        <v>31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79">
        <f t="shared" si="35"/>
        <v>43830</v>
      </c>
      <c r="D466" s="105" t="s">
        <v>537</v>
      </c>
      <c r="E466" s="494">
        <v>1</v>
      </c>
      <c r="F466" s="105" t="s">
        <v>536</v>
      </c>
      <c r="H466" s="105">
        <f>'Справка 6'!D16</f>
        <v>48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79">
        <f t="shared" si="35"/>
        <v>43830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79">
        <f t="shared" si="35"/>
        <v>43830</v>
      </c>
      <c r="D468" s="105" t="s">
        <v>543</v>
      </c>
      <c r="E468" s="494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79">
        <f t="shared" si="35"/>
        <v>43830</v>
      </c>
      <c r="D469" s="105" t="s">
        <v>545</v>
      </c>
      <c r="E469" s="494">
        <v>1</v>
      </c>
      <c r="F469" s="105" t="s">
        <v>828</v>
      </c>
      <c r="H469" s="105">
        <f>'Справка 6'!D19</f>
        <v>1153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79">
        <f t="shared" si="35"/>
        <v>43830</v>
      </c>
      <c r="D470" s="105" t="s">
        <v>547</v>
      </c>
      <c r="E470" s="494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79">
        <f t="shared" si="35"/>
        <v>43830</v>
      </c>
      <c r="D471" s="105" t="s">
        <v>549</v>
      </c>
      <c r="E471" s="494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79">
        <f t="shared" si="35"/>
        <v>43830</v>
      </c>
      <c r="D472" s="105" t="s">
        <v>553</v>
      </c>
      <c r="E472" s="494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79">
        <f t="shared" si="35"/>
        <v>43830</v>
      </c>
      <c r="D473" s="105" t="s">
        <v>555</v>
      </c>
      <c r="E473" s="494">
        <v>1</v>
      </c>
      <c r="F473" s="105" t="s">
        <v>554</v>
      </c>
      <c r="H473" s="105">
        <f>'Справка 6'!D24</f>
        <v>15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79">
        <f t="shared" si="35"/>
        <v>43830</v>
      </c>
      <c r="D474" s="105" t="s">
        <v>557</v>
      </c>
      <c r="E474" s="494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79">
        <f t="shared" si="35"/>
        <v>43830</v>
      </c>
      <c r="D475" s="105" t="s">
        <v>558</v>
      </c>
      <c r="E475" s="494">
        <v>1</v>
      </c>
      <c r="F475" s="105" t="s">
        <v>542</v>
      </c>
      <c r="H475" s="105">
        <f>'Справка 6'!D26</f>
        <v>27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79">
        <f t="shared" si="35"/>
        <v>43830</v>
      </c>
      <c r="D476" s="105" t="s">
        <v>560</v>
      </c>
      <c r="E476" s="494">
        <v>1</v>
      </c>
      <c r="F476" s="105" t="s">
        <v>863</v>
      </c>
      <c r="H476" s="105">
        <f>'Справка 6'!D27</f>
        <v>86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79">
        <f t="shared" si="35"/>
        <v>43830</v>
      </c>
      <c r="D477" s="105" t="s">
        <v>562</v>
      </c>
      <c r="E477" s="494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79">
        <f t="shared" si="35"/>
        <v>43830</v>
      </c>
      <c r="D478" s="105" t="s">
        <v>563</v>
      </c>
      <c r="E478" s="494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79">
        <f t="shared" si="35"/>
        <v>43830</v>
      </c>
      <c r="D479" s="105" t="s">
        <v>564</v>
      </c>
      <c r="E479" s="494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79">
        <f t="shared" si="35"/>
        <v>43830</v>
      </c>
      <c r="D480" s="105" t="s">
        <v>565</v>
      </c>
      <c r="E480" s="494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79">
        <f t="shared" si="35"/>
        <v>43830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79">
        <f t="shared" si="35"/>
        <v>43830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79">
        <f t="shared" si="35"/>
        <v>43830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79">
        <f t="shared" si="35"/>
        <v>43830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79">
        <f t="shared" si="35"/>
        <v>43830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79">
        <f t="shared" si="35"/>
        <v>43830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79">
        <f t="shared" si="35"/>
        <v>43830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79">
        <f t="shared" si="35"/>
        <v>43830</v>
      </c>
      <c r="D488" s="105" t="s">
        <v>578</v>
      </c>
      <c r="E488" s="494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79">
        <f t="shared" si="35"/>
        <v>43830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79">
        <f t="shared" si="35"/>
        <v>43830</v>
      </c>
      <c r="D490" s="105" t="s">
        <v>583</v>
      </c>
      <c r="E490" s="494">
        <v>1</v>
      </c>
      <c r="F490" s="105" t="s">
        <v>582</v>
      </c>
      <c r="H490" s="105">
        <f>'Справка 6'!D42</f>
        <v>2724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79">
        <f t="shared" si="35"/>
        <v>43830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79">
        <f t="shared" si="35"/>
        <v>43830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79">
        <f t="shared" si="35"/>
        <v>43830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79">
        <f t="shared" si="35"/>
        <v>43830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79">
        <f t="shared" si="35"/>
        <v>43830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79">
        <f t="shared" si="35"/>
        <v>43830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79">
        <f t="shared" si="35"/>
        <v>43830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79">
        <f t="shared" si="35"/>
        <v>43830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79">
        <f t="shared" si="35"/>
        <v>43830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79">
        <f t="shared" si="35"/>
        <v>43830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79">
        <f t="shared" si="35"/>
        <v>43830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79">
        <f t="shared" si="35"/>
        <v>43830</v>
      </c>
      <c r="D502" s="105" t="s">
        <v>553</v>
      </c>
      <c r="E502" s="494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79">
        <f t="shared" si="35"/>
        <v>43830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79">
        <f t="shared" si="35"/>
        <v>43830</v>
      </c>
      <c r="D504" s="105" t="s">
        <v>557</v>
      </c>
      <c r="E504" s="494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79">
        <f t="shared" si="35"/>
        <v>43830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79">
        <f t="shared" si="35"/>
        <v>43830</v>
      </c>
      <c r="D506" s="105" t="s">
        <v>560</v>
      </c>
      <c r="E506" s="494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79">
        <f t="shared" si="35"/>
        <v>43830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79">
        <f t="shared" si="35"/>
        <v>43830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79">
        <f t="shared" si="35"/>
        <v>43830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79">
        <f t="shared" si="35"/>
        <v>43830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79">
        <f t="shared" si="35"/>
        <v>43830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79">
        <f t="shared" si="35"/>
        <v>43830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79">
        <f t="shared" si="35"/>
        <v>43830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79">
        <f t="shared" si="35"/>
        <v>43830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79">
        <f t="shared" si="35"/>
        <v>43830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79">
        <f t="shared" si="35"/>
        <v>43830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79">
        <f t="shared" si="35"/>
        <v>43830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79">
        <f t="shared" si="35"/>
        <v>43830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79">
        <f t="shared" si="35"/>
        <v>43830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79">
        <f t="shared" si="35"/>
        <v>43830</v>
      </c>
      <c r="D520" s="105" t="s">
        <v>583</v>
      </c>
      <c r="E520" s="494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79">
        <f t="shared" si="35"/>
        <v>43830</v>
      </c>
      <c r="D521" s="105" t="s">
        <v>523</v>
      </c>
      <c r="E521" s="494">
        <v>3</v>
      </c>
      <c r="F521" s="105" t="s">
        <v>522</v>
      </c>
      <c r="H521" s="105">
        <f>'Справка 6'!F11</f>
        <v>121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79">
        <f t="shared" si="35"/>
        <v>43830</v>
      </c>
      <c r="D522" s="105" t="s">
        <v>526</v>
      </c>
      <c r="E522" s="494">
        <v>3</v>
      </c>
      <c r="F522" s="105" t="s">
        <v>525</v>
      </c>
      <c r="H522" s="105">
        <f>'Справка 6'!F12</f>
        <v>856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79">
        <f t="shared" si="35"/>
        <v>43830</v>
      </c>
      <c r="D523" s="105" t="s">
        <v>529</v>
      </c>
      <c r="E523" s="494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79">
        <f t="shared" si="35"/>
        <v>43830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79">
        <f aca="true" t="shared" si="38" ref="C525:C588">endDate</f>
        <v>43830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79">
        <f t="shared" si="38"/>
        <v>43830</v>
      </c>
      <c r="D526" s="105" t="s">
        <v>537</v>
      </c>
      <c r="E526" s="494">
        <v>3</v>
      </c>
      <c r="F526" s="105" t="s">
        <v>536</v>
      </c>
      <c r="H526" s="105">
        <f>'Справка 6'!F16</f>
        <v>7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79">
        <f t="shared" si="38"/>
        <v>43830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79">
        <f t="shared" si="38"/>
        <v>43830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79">
        <f t="shared" si="38"/>
        <v>43830</v>
      </c>
      <c r="D529" s="105" t="s">
        <v>545</v>
      </c>
      <c r="E529" s="494">
        <v>3</v>
      </c>
      <c r="F529" s="105" t="s">
        <v>828</v>
      </c>
      <c r="H529" s="105">
        <f>'Справка 6'!F19</f>
        <v>986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79">
        <f t="shared" si="38"/>
        <v>43830</v>
      </c>
      <c r="D530" s="105" t="s">
        <v>547</v>
      </c>
      <c r="E530" s="494">
        <v>3</v>
      </c>
      <c r="F530" s="105" t="s">
        <v>546</v>
      </c>
      <c r="H530" s="105">
        <f>'Справка 6'!F20</f>
        <v>185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79">
        <f t="shared" si="38"/>
        <v>43830</v>
      </c>
      <c r="D531" s="105" t="s">
        <v>549</v>
      </c>
      <c r="E531" s="494">
        <v>3</v>
      </c>
      <c r="F531" s="105" t="s">
        <v>548</v>
      </c>
      <c r="H531" s="105">
        <f>'Справка 6'!F21</f>
        <v>173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79">
        <f t="shared" si="38"/>
        <v>43830</v>
      </c>
      <c r="D532" s="105" t="s">
        <v>553</v>
      </c>
      <c r="E532" s="494">
        <v>3</v>
      </c>
      <c r="F532" s="105" t="s">
        <v>552</v>
      </c>
      <c r="H532" s="105">
        <f>'Справка 6'!F23</f>
        <v>21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79">
        <f t="shared" si="38"/>
        <v>43830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79">
        <f t="shared" si="38"/>
        <v>43830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79">
        <f t="shared" si="38"/>
        <v>43830</v>
      </c>
      <c r="D535" s="105" t="s">
        <v>558</v>
      </c>
      <c r="E535" s="494">
        <v>3</v>
      </c>
      <c r="F535" s="105" t="s">
        <v>542</v>
      </c>
      <c r="H535" s="105">
        <f>'Справка 6'!F26</f>
        <v>10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79">
        <f t="shared" si="38"/>
        <v>43830</v>
      </c>
      <c r="D536" s="105" t="s">
        <v>560</v>
      </c>
      <c r="E536" s="494">
        <v>3</v>
      </c>
      <c r="F536" s="105" t="s">
        <v>863</v>
      </c>
      <c r="H536" s="105">
        <f>'Справка 6'!F27</f>
        <v>31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79">
        <f t="shared" si="38"/>
        <v>43830</v>
      </c>
      <c r="D537" s="105" t="s">
        <v>562</v>
      </c>
      <c r="E537" s="494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79">
        <f t="shared" si="38"/>
        <v>43830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79">
        <f t="shared" si="38"/>
        <v>43830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79">
        <f t="shared" si="38"/>
        <v>43830</v>
      </c>
      <c r="D540" s="105" t="s">
        <v>565</v>
      </c>
      <c r="E540" s="494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79">
        <f t="shared" si="38"/>
        <v>43830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79">
        <f t="shared" si="38"/>
        <v>43830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79">
        <f t="shared" si="38"/>
        <v>43830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79">
        <f t="shared" si="38"/>
        <v>43830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79">
        <f t="shared" si="38"/>
        <v>43830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79">
        <f t="shared" si="38"/>
        <v>43830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79">
        <f t="shared" si="38"/>
        <v>43830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79">
        <f t="shared" si="38"/>
        <v>43830</v>
      </c>
      <c r="D548" s="105" t="s">
        <v>578</v>
      </c>
      <c r="E548" s="494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79">
        <f t="shared" si="38"/>
        <v>43830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79">
        <f t="shared" si="38"/>
        <v>43830</v>
      </c>
      <c r="D550" s="105" t="s">
        <v>583</v>
      </c>
      <c r="E550" s="494">
        <v>3</v>
      </c>
      <c r="F550" s="105" t="s">
        <v>582</v>
      </c>
      <c r="H550" s="105">
        <f>'Справка 6'!F42</f>
        <v>1375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79">
        <f t="shared" si="38"/>
        <v>43830</v>
      </c>
      <c r="D551" s="105" t="s">
        <v>523</v>
      </c>
      <c r="E551" s="494">
        <v>4</v>
      </c>
      <c r="F551" s="105" t="s">
        <v>522</v>
      </c>
      <c r="H551" s="105">
        <f>'Справка 6'!G11</f>
        <v>50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79">
        <f t="shared" si="38"/>
        <v>43830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79">
        <f t="shared" si="38"/>
        <v>43830</v>
      </c>
      <c r="D553" s="105" t="s">
        <v>529</v>
      </c>
      <c r="E553" s="494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79">
        <f t="shared" si="38"/>
        <v>43830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79">
        <f t="shared" si="38"/>
        <v>43830</v>
      </c>
      <c r="D555" s="105" t="s">
        <v>535</v>
      </c>
      <c r="E555" s="494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79">
        <f t="shared" si="38"/>
        <v>43830</v>
      </c>
      <c r="D556" s="105" t="s">
        <v>537</v>
      </c>
      <c r="E556" s="494">
        <v>4</v>
      </c>
      <c r="F556" s="105" t="s">
        <v>536</v>
      </c>
      <c r="H556" s="105">
        <f>'Справка 6'!G16</f>
        <v>41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79">
        <f t="shared" si="38"/>
        <v>43830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79">
        <f t="shared" si="38"/>
        <v>43830</v>
      </c>
      <c r="D558" s="105" t="s">
        <v>543</v>
      </c>
      <c r="E558" s="494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79">
        <f t="shared" si="38"/>
        <v>43830</v>
      </c>
      <c r="D559" s="105" t="s">
        <v>545</v>
      </c>
      <c r="E559" s="494">
        <v>4</v>
      </c>
      <c r="F559" s="105" t="s">
        <v>828</v>
      </c>
      <c r="H559" s="105">
        <f>'Справка 6'!G19</f>
        <v>167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79">
        <f t="shared" si="38"/>
        <v>43830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79">
        <f t="shared" si="38"/>
        <v>43830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79">
        <f t="shared" si="38"/>
        <v>43830</v>
      </c>
      <c r="D562" s="105" t="s">
        <v>553</v>
      </c>
      <c r="E562" s="494">
        <v>4</v>
      </c>
      <c r="F562" s="105" t="s">
        <v>552</v>
      </c>
      <c r="H562" s="105">
        <f>'Справка 6'!G23</f>
        <v>23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79">
        <f t="shared" si="38"/>
        <v>43830</v>
      </c>
      <c r="D563" s="105" t="s">
        <v>555</v>
      </c>
      <c r="E563" s="494">
        <v>4</v>
      </c>
      <c r="F563" s="105" t="s">
        <v>554</v>
      </c>
      <c r="H563" s="105">
        <f>'Справка 6'!G24</f>
        <v>15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79">
        <f t="shared" si="38"/>
        <v>43830</v>
      </c>
      <c r="D564" s="105" t="s">
        <v>557</v>
      </c>
      <c r="E564" s="494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79">
        <f t="shared" si="38"/>
        <v>43830</v>
      </c>
      <c r="D565" s="105" t="s">
        <v>558</v>
      </c>
      <c r="E565" s="494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79">
        <f t="shared" si="38"/>
        <v>43830</v>
      </c>
      <c r="D566" s="105" t="s">
        <v>560</v>
      </c>
      <c r="E566" s="494">
        <v>4</v>
      </c>
      <c r="F566" s="105" t="s">
        <v>863</v>
      </c>
      <c r="H566" s="105">
        <f>'Справка 6'!G27</f>
        <v>55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79">
        <f t="shared" si="38"/>
        <v>43830</v>
      </c>
      <c r="D567" s="105" t="s">
        <v>562</v>
      </c>
      <c r="E567" s="494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79">
        <f t="shared" si="38"/>
        <v>43830</v>
      </c>
      <c r="D568" s="105" t="s">
        <v>563</v>
      </c>
      <c r="E568" s="494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79">
        <f t="shared" si="38"/>
        <v>43830</v>
      </c>
      <c r="D569" s="105" t="s">
        <v>564</v>
      </c>
      <c r="E569" s="494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79">
        <f t="shared" si="38"/>
        <v>43830</v>
      </c>
      <c r="D570" s="105" t="s">
        <v>565</v>
      </c>
      <c r="E570" s="494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79">
        <f t="shared" si="38"/>
        <v>43830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79">
        <f t="shared" si="38"/>
        <v>43830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79">
        <f t="shared" si="38"/>
        <v>43830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79">
        <f t="shared" si="38"/>
        <v>43830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79">
        <f t="shared" si="38"/>
        <v>43830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79">
        <f t="shared" si="38"/>
        <v>43830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79">
        <f t="shared" si="38"/>
        <v>43830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79">
        <f t="shared" si="38"/>
        <v>43830</v>
      </c>
      <c r="D578" s="105" t="s">
        <v>578</v>
      </c>
      <c r="E578" s="494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79">
        <f t="shared" si="38"/>
        <v>43830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79">
        <f t="shared" si="38"/>
        <v>43830</v>
      </c>
      <c r="D580" s="105" t="s">
        <v>583</v>
      </c>
      <c r="E580" s="494">
        <v>4</v>
      </c>
      <c r="F580" s="105" t="s">
        <v>582</v>
      </c>
      <c r="H580" s="105">
        <f>'Справка 6'!G42</f>
        <v>1349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79">
        <f t="shared" si="38"/>
        <v>43830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79">
        <f t="shared" si="38"/>
        <v>43830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79">
        <f t="shared" si="38"/>
        <v>43830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79">
        <f t="shared" si="38"/>
        <v>43830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79">
        <f t="shared" si="38"/>
        <v>43830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79">
        <f t="shared" si="38"/>
        <v>43830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79">
        <f t="shared" si="38"/>
        <v>43830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79">
        <f t="shared" si="38"/>
        <v>43830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79">
        <f aca="true" t="shared" si="41" ref="C589:C652">endDate</f>
        <v>43830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79">
        <f t="shared" si="41"/>
        <v>43830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79">
        <f t="shared" si="41"/>
        <v>43830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79">
        <f t="shared" si="41"/>
        <v>43830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79">
        <f t="shared" si="41"/>
        <v>43830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79">
        <f t="shared" si="41"/>
        <v>43830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79">
        <f t="shared" si="41"/>
        <v>43830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79">
        <f t="shared" si="41"/>
        <v>43830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79">
        <f t="shared" si="41"/>
        <v>43830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79">
        <f t="shared" si="41"/>
        <v>43830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79">
        <f t="shared" si="41"/>
        <v>43830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79">
        <f t="shared" si="41"/>
        <v>43830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79">
        <f t="shared" si="41"/>
        <v>43830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79">
        <f t="shared" si="41"/>
        <v>43830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79">
        <f t="shared" si="41"/>
        <v>43830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79">
        <f t="shared" si="41"/>
        <v>43830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79">
        <f t="shared" si="41"/>
        <v>43830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79">
        <f t="shared" si="41"/>
        <v>43830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79">
        <f t="shared" si="41"/>
        <v>43830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79">
        <f t="shared" si="41"/>
        <v>43830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79">
        <f t="shared" si="41"/>
        <v>43830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79">
        <f t="shared" si="41"/>
        <v>43830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79">
        <f t="shared" si="41"/>
        <v>43830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79">
        <f t="shared" si="41"/>
        <v>43830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79">
        <f t="shared" si="41"/>
        <v>43830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79">
        <f t="shared" si="41"/>
        <v>43830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79">
        <f t="shared" si="41"/>
        <v>43830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79">
        <f t="shared" si="41"/>
        <v>43830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79">
        <f t="shared" si="41"/>
        <v>43830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79">
        <f t="shared" si="41"/>
        <v>43830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79">
        <f t="shared" si="41"/>
        <v>43830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79">
        <f t="shared" si="41"/>
        <v>43830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79">
        <f t="shared" si="41"/>
        <v>43830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79">
        <f t="shared" si="41"/>
        <v>43830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79">
        <f t="shared" si="41"/>
        <v>43830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79">
        <f t="shared" si="41"/>
        <v>43830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79">
        <f t="shared" si="41"/>
        <v>43830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79">
        <f t="shared" si="41"/>
        <v>43830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79">
        <f t="shared" si="41"/>
        <v>43830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79">
        <f t="shared" si="41"/>
        <v>43830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79">
        <f t="shared" si="41"/>
        <v>43830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79">
        <f t="shared" si="41"/>
        <v>43830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79">
        <f t="shared" si="41"/>
        <v>43830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79">
        <f t="shared" si="41"/>
        <v>43830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79">
        <f t="shared" si="41"/>
        <v>43830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79">
        <f t="shared" si="41"/>
        <v>43830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79">
        <f t="shared" si="41"/>
        <v>43830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79">
        <f t="shared" si="41"/>
        <v>43830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79">
        <f t="shared" si="41"/>
        <v>43830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79">
        <f t="shared" si="41"/>
        <v>43830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79">
        <f t="shared" si="41"/>
        <v>43830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79">
        <f t="shared" si="41"/>
        <v>43830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79">
        <f t="shared" si="41"/>
        <v>43830</v>
      </c>
      <c r="D641" s="105" t="s">
        <v>523</v>
      </c>
      <c r="E641" s="494">
        <v>7</v>
      </c>
      <c r="F641" s="105" t="s">
        <v>522</v>
      </c>
      <c r="H641" s="105">
        <f>'Справка 6'!J11</f>
        <v>50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79">
        <f t="shared" si="41"/>
        <v>43830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79">
        <f t="shared" si="41"/>
        <v>43830</v>
      </c>
      <c r="D643" s="105" t="s">
        <v>529</v>
      </c>
      <c r="E643" s="494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79">
        <f t="shared" si="41"/>
        <v>43830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79">
        <f t="shared" si="41"/>
        <v>43830</v>
      </c>
      <c r="D645" s="105" t="s">
        <v>535</v>
      </c>
      <c r="E645" s="494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79">
        <f t="shared" si="41"/>
        <v>43830</v>
      </c>
      <c r="D646" s="105" t="s">
        <v>537</v>
      </c>
      <c r="E646" s="494">
        <v>7</v>
      </c>
      <c r="F646" s="105" t="s">
        <v>536</v>
      </c>
      <c r="H646" s="105">
        <f>'Справка 6'!J16</f>
        <v>41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79">
        <f t="shared" si="41"/>
        <v>43830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79">
        <f t="shared" si="41"/>
        <v>43830</v>
      </c>
      <c r="D648" s="105" t="s">
        <v>543</v>
      </c>
      <c r="E648" s="494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79">
        <f t="shared" si="41"/>
        <v>43830</v>
      </c>
      <c r="D649" s="105" t="s">
        <v>545</v>
      </c>
      <c r="E649" s="494">
        <v>7</v>
      </c>
      <c r="F649" s="105" t="s">
        <v>828</v>
      </c>
      <c r="H649" s="105">
        <f>'Справка 6'!J19</f>
        <v>167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79">
        <f t="shared" si="41"/>
        <v>43830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79">
        <f t="shared" si="41"/>
        <v>43830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79">
        <f t="shared" si="41"/>
        <v>43830</v>
      </c>
      <c r="D652" s="105" t="s">
        <v>553</v>
      </c>
      <c r="E652" s="494">
        <v>7</v>
      </c>
      <c r="F652" s="105" t="s">
        <v>552</v>
      </c>
      <c r="H652" s="105">
        <f>'Справка 6'!J23</f>
        <v>23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79">
        <f aca="true" t="shared" si="44" ref="C653:C716">endDate</f>
        <v>43830</v>
      </c>
      <c r="D653" s="105" t="s">
        <v>555</v>
      </c>
      <c r="E653" s="494">
        <v>7</v>
      </c>
      <c r="F653" s="105" t="s">
        <v>554</v>
      </c>
      <c r="H653" s="105">
        <f>'Справка 6'!J24</f>
        <v>15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79">
        <f t="shared" si="44"/>
        <v>43830</v>
      </c>
      <c r="D654" s="105" t="s">
        <v>557</v>
      </c>
      <c r="E654" s="494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79">
        <f t="shared" si="44"/>
        <v>43830</v>
      </c>
      <c r="D655" s="105" t="s">
        <v>558</v>
      </c>
      <c r="E655" s="494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79">
        <f t="shared" si="44"/>
        <v>43830</v>
      </c>
      <c r="D656" s="105" t="s">
        <v>560</v>
      </c>
      <c r="E656" s="494">
        <v>7</v>
      </c>
      <c r="F656" s="105" t="s">
        <v>863</v>
      </c>
      <c r="H656" s="105">
        <f>'Справка 6'!J27</f>
        <v>55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79">
        <f t="shared" si="44"/>
        <v>43830</v>
      </c>
      <c r="D657" s="105" t="s">
        <v>562</v>
      </c>
      <c r="E657" s="494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79">
        <f t="shared" si="44"/>
        <v>43830</v>
      </c>
      <c r="D658" s="105" t="s">
        <v>563</v>
      </c>
      <c r="E658" s="494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79">
        <f t="shared" si="44"/>
        <v>43830</v>
      </c>
      <c r="D659" s="105" t="s">
        <v>564</v>
      </c>
      <c r="E659" s="494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79">
        <f t="shared" si="44"/>
        <v>43830</v>
      </c>
      <c r="D660" s="105" t="s">
        <v>565</v>
      </c>
      <c r="E660" s="494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79">
        <f t="shared" si="44"/>
        <v>43830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79">
        <f t="shared" si="44"/>
        <v>43830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79">
        <f t="shared" si="44"/>
        <v>43830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79">
        <f t="shared" si="44"/>
        <v>43830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79">
        <f t="shared" si="44"/>
        <v>43830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79">
        <f t="shared" si="44"/>
        <v>43830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79">
        <f t="shared" si="44"/>
        <v>43830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79">
        <f t="shared" si="44"/>
        <v>43830</v>
      </c>
      <c r="D668" s="105" t="s">
        <v>578</v>
      </c>
      <c r="E668" s="494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79">
        <f t="shared" si="44"/>
        <v>43830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79">
        <f t="shared" si="44"/>
        <v>43830</v>
      </c>
      <c r="D670" s="105" t="s">
        <v>583</v>
      </c>
      <c r="E670" s="494">
        <v>7</v>
      </c>
      <c r="F670" s="105" t="s">
        <v>582</v>
      </c>
      <c r="H670" s="105">
        <f>'Справка 6'!J42</f>
        <v>1349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79">
        <f t="shared" si="44"/>
        <v>43830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79">
        <f t="shared" si="44"/>
        <v>43830</v>
      </c>
      <c r="D672" s="105" t="s">
        <v>526</v>
      </c>
      <c r="E672" s="494">
        <v>8</v>
      </c>
      <c r="F672" s="105" t="s">
        <v>525</v>
      </c>
      <c r="H672" s="105">
        <f>'Справка 6'!K12</f>
        <v>139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79">
        <f t="shared" si="44"/>
        <v>43830</v>
      </c>
      <c r="D673" s="105" t="s">
        <v>529</v>
      </c>
      <c r="E673" s="494">
        <v>8</v>
      </c>
      <c r="F673" s="105" t="s">
        <v>528</v>
      </c>
      <c r="H673" s="105">
        <f>'Справка 6'!K13</f>
        <v>10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79">
        <f t="shared" si="44"/>
        <v>43830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79">
        <f t="shared" si="44"/>
        <v>43830</v>
      </c>
      <c r="D675" s="105" t="s">
        <v>535</v>
      </c>
      <c r="E675" s="494">
        <v>8</v>
      </c>
      <c r="F675" s="105" t="s">
        <v>534</v>
      </c>
      <c r="H675" s="105">
        <f>'Справка 6'!K15</f>
        <v>31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79">
        <f t="shared" si="44"/>
        <v>43830</v>
      </c>
      <c r="D676" s="105" t="s">
        <v>537</v>
      </c>
      <c r="E676" s="494">
        <v>8</v>
      </c>
      <c r="F676" s="105" t="s">
        <v>536</v>
      </c>
      <c r="H676" s="105">
        <f>'Справка 6'!K16</f>
        <v>37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79">
        <f t="shared" si="44"/>
        <v>43830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79">
        <f t="shared" si="44"/>
        <v>43830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79">
        <f t="shared" si="44"/>
        <v>43830</v>
      </c>
      <c r="D679" s="105" t="s">
        <v>545</v>
      </c>
      <c r="E679" s="494">
        <v>8</v>
      </c>
      <c r="F679" s="105" t="s">
        <v>828</v>
      </c>
      <c r="H679" s="105">
        <f>'Справка 6'!K19</f>
        <v>217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79">
        <f t="shared" si="44"/>
        <v>43830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79">
        <f t="shared" si="44"/>
        <v>43830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79">
        <f t="shared" si="44"/>
        <v>43830</v>
      </c>
      <c r="D682" s="105" t="s">
        <v>553</v>
      </c>
      <c r="E682" s="494">
        <v>8</v>
      </c>
      <c r="F682" s="105" t="s">
        <v>552</v>
      </c>
      <c r="H682" s="105">
        <f>'Справка 6'!K23</f>
        <v>43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79">
        <f t="shared" si="44"/>
        <v>43830</v>
      </c>
      <c r="D683" s="105" t="s">
        <v>555</v>
      </c>
      <c r="E683" s="494">
        <v>8</v>
      </c>
      <c r="F683" s="105" t="s">
        <v>554</v>
      </c>
      <c r="H683" s="105">
        <f>'Справка 6'!K24</f>
        <v>14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79">
        <f t="shared" si="44"/>
        <v>43830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79">
        <f t="shared" si="44"/>
        <v>43830</v>
      </c>
      <c r="D685" s="105" t="s">
        <v>558</v>
      </c>
      <c r="E685" s="494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79">
        <f t="shared" si="44"/>
        <v>43830</v>
      </c>
      <c r="D686" s="105" t="s">
        <v>560</v>
      </c>
      <c r="E686" s="494">
        <v>8</v>
      </c>
      <c r="F686" s="105" t="s">
        <v>863</v>
      </c>
      <c r="H686" s="105">
        <f>'Справка 6'!K27</f>
        <v>80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79">
        <f t="shared" si="44"/>
        <v>43830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79">
        <f t="shared" si="44"/>
        <v>43830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79">
        <f t="shared" si="44"/>
        <v>43830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79">
        <f t="shared" si="44"/>
        <v>43830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79">
        <f t="shared" si="44"/>
        <v>43830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79">
        <f t="shared" si="44"/>
        <v>43830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79">
        <f t="shared" si="44"/>
        <v>43830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79">
        <f t="shared" si="44"/>
        <v>43830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79">
        <f t="shared" si="44"/>
        <v>43830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79">
        <f t="shared" si="44"/>
        <v>43830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79">
        <f t="shared" si="44"/>
        <v>43830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79">
        <f t="shared" si="44"/>
        <v>43830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79">
        <f t="shared" si="44"/>
        <v>43830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79">
        <f t="shared" si="44"/>
        <v>43830</v>
      </c>
      <c r="D700" s="105" t="s">
        <v>583</v>
      </c>
      <c r="E700" s="494">
        <v>8</v>
      </c>
      <c r="F700" s="105" t="s">
        <v>582</v>
      </c>
      <c r="H700" s="105">
        <f>'Справка 6'!K42</f>
        <v>297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79">
        <f t="shared" si="44"/>
        <v>43830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79">
        <f t="shared" si="44"/>
        <v>43830</v>
      </c>
      <c r="D702" s="105" t="s">
        <v>526</v>
      </c>
      <c r="E702" s="494">
        <v>9</v>
      </c>
      <c r="F702" s="105" t="s">
        <v>525</v>
      </c>
      <c r="H702" s="105">
        <f>'Справка 6'!L12</f>
        <v>5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79">
        <f t="shared" si="44"/>
        <v>43830</v>
      </c>
      <c r="D703" s="105" t="s">
        <v>529</v>
      </c>
      <c r="E703" s="494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79">
        <f t="shared" si="44"/>
        <v>43830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79">
        <f t="shared" si="44"/>
        <v>43830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79">
        <f t="shared" si="44"/>
        <v>43830</v>
      </c>
      <c r="D706" s="105" t="s">
        <v>537</v>
      </c>
      <c r="E706" s="494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79">
        <f t="shared" si="44"/>
        <v>43830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79">
        <f t="shared" si="44"/>
        <v>43830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79">
        <f t="shared" si="44"/>
        <v>43830</v>
      </c>
      <c r="D709" s="105" t="s">
        <v>545</v>
      </c>
      <c r="E709" s="494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79">
        <f t="shared" si="44"/>
        <v>43830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79">
        <f t="shared" si="44"/>
        <v>43830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79">
        <f t="shared" si="44"/>
        <v>43830</v>
      </c>
      <c r="D712" s="105" t="s">
        <v>553</v>
      </c>
      <c r="E712" s="494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79">
        <f t="shared" si="44"/>
        <v>43830</v>
      </c>
      <c r="D713" s="105" t="s">
        <v>555</v>
      </c>
      <c r="E713" s="494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79">
        <f t="shared" si="44"/>
        <v>43830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79">
        <f t="shared" si="44"/>
        <v>43830</v>
      </c>
      <c r="D715" s="105" t="s">
        <v>558</v>
      </c>
      <c r="E715" s="494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79">
        <f t="shared" si="44"/>
        <v>43830</v>
      </c>
      <c r="D716" s="105" t="s">
        <v>560</v>
      </c>
      <c r="E716" s="494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79">
        <f aca="true" t="shared" si="47" ref="C717:C780">endDate</f>
        <v>43830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79">
        <f t="shared" si="47"/>
        <v>43830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79">
        <f t="shared" si="47"/>
        <v>43830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79">
        <f t="shared" si="47"/>
        <v>43830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79">
        <f t="shared" si="47"/>
        <v>43830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79">
        <f t="shared" si="47"/>
        <v>43830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79">
        <f t="shared" si="47"/>
        <v>43830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79">
        <f t="shared" si="47"/>
        <v>43830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79">
        <f t="shared" si="47"/>
        <v>43830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79">
        <f t="shared" si="47"/>
        <v>43830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79">
        <f t="shared" si="47"/>
        <v>43830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79">
        <f t="shared" si="47"/>
        <v>43830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79">
        <f t="shared" si="47"/>
        <v>43830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79">
        <f t="shared" si="47"/>
        <v>43830</v>
      </c>
      <c r="D730" s="105" t="s">
        <v>583</v>
      </c>
      <c r="E730" s="494">
        <v>9</v>
      </c>
      <c r="F730" s="105" t="s">
        <v>582</v>
      </c>
      <c r="H730" s="105">
        <f>'Справка 6'!L42</f>
        <v>14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79">
        <f t="shared" si="47"/>
        <v>43830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79">
        <f t="shared" si="47"/>
        <v>43830</v>
      </c>
      <c r="D732" s="105" t="s">
        <v>526</v>
      </c>
      <c r="E732" s="494">
        <v>10</v>
      </c>
      <c r="F732" s="105" t="s">
        <v>525</v>
      </c>
      <c r="H732" s="105">
        <f>'Справка 6'!M12</f>
        <v>144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79">
        <f t="shared" si="47"/>
        <v>43830</v>
      </c>
      <c r="D733" s="105" t="s">
        <v>529</v>
      </c>
      <c r="E733" s="494">
        <v>10</v>
      </c>
      <c r="F733" s="105" t="s">
        <v>528</v>
      </c>
      <c r="H733" s="105">
        <f>'Справка 6'!M13</f>
        <v>2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79">
        <f t="shared" si="47"/>
        <v>43830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79">
        <f t="shared" si="47"/>
        <v>43830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79">
        <f t="shared" si="47"/>
        <v>43830</v>
      </c>
      <c r="D736" s="105" t="s">
        <v>537</v>
      </c>
      <c r="E736" s="494">
        <v>10</v>
      </c>
      <c r="F736" s="105" t="s">
        <v>536</v>
      </c>
      <c r="H736" s="105">
        <f>'Справка 6'!M16</f>
        <v>7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79">
        <f t="shared" si="47"/>
        <v>43830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79">
        <f t="shared" si="47"/>
        <v>43830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79">
        <f t="shared" si="47"/>
        <v>43830</v>
      </c>
      <c r="D739" s="105" t="s">
        <v>545</v>
      </c>
      <c r="E739" s="494">
        <v>10</v>
      </c>
      <c r="F739" s="105" t="s">
        <v>828</v>
      </c>
      <c r="H739" s="105">
        <f>'Справка 6'!M19</f>
        <v>153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79">
        <f t="shared" si="47"/>
        <v>43830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79">
        <f t="shared" si="47"/>
        <v>43830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79">
        <f t="shared" si="47"/>
        <v>43830</v>
      </c>
      <c r="D742" s="105" t="s">
        <v>553</v>
      </c>
      <c r="E742" s="494">
        <v>10</v>
      </c>
      <c r="F742" s="105" t="s">
        <v>552</v>
      </c>
      <c r="H742" s="105">
        <f>'Справка 6'!M23</f>
        <v>21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79">
        <f t="shared" si="47"/>
        <v>43830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79">
        <f t="shared" si="47"/>
        <v>43830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79">
        <f t="shared" si="47"/>
        <v>43830</v>
      </c>
      <c r="D745" s="105" t="s">
        <v>558</v>
      </c>
      <c r="E745" s="494">
        <v>10</v>
      </c>
      <c r="F745" s="105" t="s">
        <v>542</v>
      </c>
      <c r="H745" s="105">
        <f>'Справка 6'!M26</f>
        <v>10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79">
        <f t="shared" si="47"/>
        <v>43830</v>
      </c>
      <c r="D746" s="105" t="s">
        <v>560</v>
      </c>
      <c r="E746" s="494">
        <v>10</v>
      </c>
      <c r="F746" s="105" t="s">
        <v>863</v>
      </c>
      <c r="H746" s="105">
        <f>'Справка 6'!M27</f>
        <v>31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79">
        <f t="shared" si="47"/>
        <v>43830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79">
        <f t="shared" si="47"/>
        <v>43830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79">
        <f t="shared" si="47"/>
        <v>43830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79">
        <f t="shared" si="47"/>
        <v>43830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79">
        <f t="shared" si="47"/>
        <v>43830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79">
        <f t="shared" si="47"/>
        <v>43830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79">
        <f t="shared" si="47"/>
        <v>43830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79">
        <f t="shared" si="47"/>
        <v>43830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79">
        <f t="shared" si="47"/>
        <v>43830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79">
        <f t="shared" si="47"/>
        <v>43830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79">
        <f t="shared" si="47"/>
        <v>43830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79">
        <f t="shared" si="47"/>
        <v>43830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79">
        <f t="shared" si="47"/>
        <v>43830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79">
        <f t="shared" si="47"/>
        <v>43830</v>
      </c>
      <c r="D760" s="105" t="s">
        <v>583</v>
      </c>
      <c r="E760" s="494">
        <v>10</v>
      </c>
      <c r="F760" s="105" t="s">
        <v>582</v>
      </c>
      <c r="H760" s="105">
        <f>'Справка 6'!M42</f>
        <v>184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79">
        <f t="shared" si="47"/>
        <v>43830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79">
        <f t="shared" si="47"/>
        <v>43830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79">
        <f t="shared" si="47"/>
        <v>43830</v>
      </c>
      <c r="D763" s="105" t="s">
        <v>529</v>
      </c>
      <c r="E763" s="494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79">
        <f t="shared" si="47"/>
        <v>43830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79">
        <f t="shared" si="47"/>
        <v>43830</v>
      </c>
      <c r="D765" s="105" t="s">
        <v>535</v>
      </c>
      <c r="E765" s="494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79">
        <f t="shared" si="47"/>
        <v>43830</v>
      </c>
      <c r="D766" s="105" t="s">
        <v>537</v>
      </c>
      <c r="E766" s="494">
        <v>11</v>
      </c>
      <c r="F766" s="105" t="s">
        <v>536</v>
      </c>
      <c r="H766" s="105">
        <f>'Справка 6'!N16</f>
        <v>34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79">
        <f t="shared" si="47"/>
        <v>43830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79">
        <f t="shared" si="47"/>
        <v>43830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79">
        <f t="shared" si="47"/>
        <v>43830</v>
      </c>
      <c r="D769" s="105" t="s">
        <v>545</v>
      </c>
      <c r="E769" s="494">
        <v>11</v>
      </c>
      <c r="F769" s="105" t="s">
        <v>828</v>
      </c>
      <c r="H769" s="105">
        <f>'Справка 6'!N19</f>
        <v>74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79">
        <f t="shared" si="47"/>
        <v>43830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79">
        <f t="shared" si="47"/>
        <v>43830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79">
        <f t="shared" si="47"/>
        <v>43830</v>
      </c>
      <c r="D772" s="105" t="s">
        <v>553</v>
      </c>
      <c r="E772" s="494">
        <v>11</v>
      </c>
      <c r="F772" s="105" t="s">
        <v>552</v>
      </c>
      <c r="H772" s="105">
        <f>'Справка 6'!N23</f>
        <v>23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79">
        <f t="shared" si="47"/>
        <v>43830</v>
      </c>
      <c r="D773" s="105" t="s">
        <v>555</v>
      </c>
      <c r="E773" s="494">
        <v>11</v>
      </c>
      <c r="F773" s="105" t="s">
        <v>554</v>
      </c>
      <c r="H773" s="105">
        <f>'Справка 6'!N24</f>
        <v>15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79">
        <f t="shared" si="47"/>
        <v>43830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79">
        <f t="shared" si="47"/>
        <v>43830</v>
      </c>
      <c r="D775" s="105" t="s">
        <v>558</v>
      </c>
      <c r="E775" s="494">
        <v>11</v>
      </c>
      <c r="F775" s="105" t="s">
        <v>542</v>
      </c>
      <c r="H775" s="105">
        <f>'Справка 6'!N26</f>
        <v>15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79">
        <f t="shared" si="47"/>
        <v>43830</v>
      </c>
      <c r="D776" s="105" t="s">
        <v>560</v>
      </c>
      <c r="E776" s="494">
        <v>11</v>
      </c>
      <c r="F776" s="105" t="s">
        <v>863</v>
      </c>
      <c r="H776" s="105">
        <f>'Справка 6'!N27</f>
        <v>53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79">
        <f t="shared" si="47"/>
        <v>43830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79">
        <f t="shared" si="47"/>
        <v>43830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79">
        <f t="shared" si="47"/>
        <v>43830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79">
        <f t="shared" si="47"/>
        <v>43830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79">
        <f aca="true" t="shared" si="50" ref="C781:C844">endDate</f>
        <v>43830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79">
        <f t="shared" si="50"/>
        <v>43830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79">
        <f t="shared" si="50"/>
        <v>43830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79">
        <f t="shared" si="50"/>
        <v>43830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79">
        <f t="shared" si="50"/>
        <v>43830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79">
        <f t="shared" si="50"/>
        <v>43830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79">
        <f t="shared" si="50"/>
        <v>43830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79">
        <f t="shared" si="50"/>
        <v>43830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79">
        <f t="shared" si="50"/>
        <v>43830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79">
        <f t="shared" si="50"/>
        <v>43830</v>
      </c>
      <c r="D790" s="105" t="s">
        <v>583</v>
      </c>
      <c r="E790" s="494">
        <v>11</v>
      </c>
      <c r="F790" s="105" t="s">
        <v>582</v>
      </c>
      <c r="H790" s="105">
        <f>'Справка 6'!N42</f>
        <v>127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79">
        <f t="shared" si="50"/>
        <v>43830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79">
        <f t="shared" si="50"/>
        <v>43830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79">
        <f t="shared" si="50"/>
        <v>43830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79">
        <f t="shared" si="50"/>
        <v>43830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79">
        <f t="shared" si="50"/>
        <v>43830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79">
        <f t="shared" si="50"/>
        <v>43830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79">
        <f t="shared" si="50"/>
        <v>43830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79">
        <f t="shared" si="50"/>
        <v>43830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79">
        <f t="shared" si="50"/>
        <v>43830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79">
        <f t="shared" si="50"/>
        <v>43830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79">
        <f t="shared" si="50"/>
        <v>43830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79">
        <f t="shared" si="50"/>
        <v>43830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79">
        <f t="shared" si="50"/>
        <v>43830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79">
        <f t="shared" si="50"/>
        <v>43830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79">
        <f t="shared" si="50"/>
        <v>43830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79">
        <f t="shared" si="50"/>
        <v>43830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79">
        <f t="shared" si="50"/>
        <v>43830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79">
        <f t="shared" si="50"/>
        <v>43830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79">
        <f t="shared" si="50"/>
        <v>43830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79">
        <f t="shared" si="50"/>
        <v>43830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79">
        <f t="shared" si="50"/>
        <v>43830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79">
        <f t="shared" si="50"/>
        <v>43830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79">
        <f t="shared" si="50"/>
        <v>43830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79">
        <f t="shared" si="50"/>
        <v>43830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79">
        <f t="shared" si="50"/>
        <v>43830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79">
        <f t="shared" si="50"/>
        <v>43830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79">
        <f t="shared" si="50"/>
        <v>43830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79">
        <f t="shared" si="50"/>
        <v>43830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79">
        <f t="shared" si="50"/>
        <v>43830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79">
        <f t="shared" si="50"/>
        <v>43830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79">
        <f t="shared" si="50"/>
        <v>43830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79">
        <f t="shared" si="50"/>
        <v>43830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79">
        <f t="shared" si="50"/>
        <v>43830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79">
        <f t="shared" si="50"/>
        <v>43830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79">
        <f t="shared" si="50"/>
        <v>43830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79">
        <f t="shared" si="50"/>
        <v>43830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79">
        <f t="shared" si="50"/>
        <v>43830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79">
        <f t="shared" si="50"/>
        <v>43830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79">
        <f t="shared" si="50"/>
        <v>43830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79">
        <f t="shared" si="50"/>
        <v>43830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79">
        <f t="shared" si="50"/>
        <v>43830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79">
        <f t="shared" si="50"/>
        <v>43830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79">
        <f t="shared" si="50"/>
        <v>43830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79">
        <f t="shared" si="50"/>
        <v>43830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79">
        <f t="shared" si="50"/>
        <v>43830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79">
        <f t="shared" si="50"/>
        <v>43830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79">
        <f t="shared" si="50"/>
        <v>43830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79">
        <f t="shared" si="50"/>
        <v>43830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79">
        <f t="shared" si="50"/>
        <v>43830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79">
        <f t="shared" si="50"/>
        <v>43830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79">
        <f t="shared" si="50"/>
        <v>43830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79">
        <f t="shared" si="50"/>
        <v>43830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79">
        <f t="shared" si="50"/>
        <v>43830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79">
        <f t="shared" si="50"/>
        <v>43830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79">
        <f aca="true" t="shared" si="53" ref="C845:C910">endDate</f>
        <v>43830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79">
        <f t="shared" si="53"/>
        <v>43830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79">
        <f t="shared" si="53"/>
        <v>43830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79">
        <f t="shared" si="53"/>
        <v>43830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79">
        <f t="shared" si="53"/>
        <v>43830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79">
        <f t="shared" si="53"/>
        <v>43830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79">
        <f t="shared" si="53"/>
        <v>43830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79">
        <f t="shared" si="53"/>
        <v>43830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79">
        <f t="shared" si="53"/>
        <v>43830</v>
      </c>
      <c r="D853" s="105" t="s">
        <v>529</v>
      </c>
      <c r="E853" s="494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79">
        <f t="shared" si="53"/>
        <v>43830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79">
        <f t="shared" si="53"/>
        <v>43830</v>
      </c>
      <c r="D855" s="105" t="s">
        <v>535</v>
      </c>
      <c r="E855" s="494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79">
        <f t="shared" si="53"/>
        <v>43830</v>
      </c>
      <c r="D856" s="105" t="s">
        <v>537</v>
      </c>
      <c r="E856" s="494">
        <v>14</v>
      </c>
      <c r="F856" s="105" t="s">
        <v>536</v>
      </c>
      <c r="H856" s="105">
        <f>'Справка 6'!Q16</f>
        <v>34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79">
        <f t="shared" si="53"/>
        <v>43830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79">
        <f t="shared" si="53"/>
        <v>43830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79">
        <f t="shared" si="53"/>
        <v>43830</v>
      </c>
      <c r="D859" s="105" t="s">
        <v>545</v>
      </c>
      <c r="E859" s="494">
        <v>14</v>
      </c>
      <c r="F859" s="105" t="s">
        <v>828</v>
      </c>
      <c r="H859" s="105">
        <f>'Справка 6'!Q19</f>
        <v>74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79">
        <f t="shared" si="53"/>
        <v>43830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79">
        <f t="shared" si="53"/>
        <v>43830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79">
        <f t="shared" si="53"/>
        <v>43830</v>
      </c>
      <c r="D862" s="105" t="s">
        <v>553</v>
      </c>
      <c r="E862" s="494">
        <v>14</v>
      </c>
      <c r="F862" s="105" t="s">
        <v>552</v>
      </c>
      <c r="H862" s="105">
        <f>'Справка 6'!Q23</f>
        <v>23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79">
        <f t="shared" si="53"/>
        <v>43830</v>
      </c>
      <c r="D863" s="105" t="s">
        <v>555</v>
      </c>
      <c r="E863" s="494">
        <v>14</v>
      </c>
      <c r="F863" s="105" t="s">
        <v>554</v>
      </c>
      <c r="H863" s="105">
        <f>'Справка 6'!Q24</f>
        <v>15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79">
        <f t="shared" si="53"/>
        <v>43830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79">
        <f t="shared" si="53"/>
        <v>43830</v>
      </c>
      <c r="D865" s="105" t="s">
        <v>558</v>
      </c>
      <c r="E865" s="494">
        <v>14</v>
      </c>
      <c r="F865" s="105" t="s">
        <v>542</v>
      </c>
      <c r="H865" s="105">
        <f>'Справка 6'!Q26</f>
        <v>15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79">
        <f t="shared" si="53"/>
        <v>43830</v>
      </c>
      <c r="D866" s="105" t="s">
        <v>560</v>
      </c>
      <c r="E866" s="494">
        <v>14</v>
      </c>
      <c r="F866" s="105" t="s">
        <v>863</v>
      </c>
      <c r="H866" s="105">
        <f>'Справка 6'!Q27</f>
        <v>53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79">
        <f t="shared" si="53"/>
        <v>43830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79">
        <f t="shared" si="53"/>
        <v>43830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79">
        <f t="shared" si="53"/>
        <v>43830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79">
        <f t="shared" si="53"/>
        <v>43830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79">
        <f t="shared" si="53"/>
        <v>43830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79">
        <f t="shared" si="53"/>
        <v>43830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79">
        <f t="shared" si="53"/>
        <v>43830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79">
        <f t="shared" si="53"/>
        <v>43830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79">
        <f t="shared" si="53"/>
        <v>43830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79">
        <f t="shared" si="53"/>
        <v>43830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79">
        <f t="shared" si="53"/>
        <v>43830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79">
        <f t="shared" si="53"/>
        <v>43830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79">
        <f t="shared" si="53"/>
        <v>43830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79">
        <f t="shared" si="53"/>
        <v>43830</v>
      </c>
      <c r="D880" s="105" t="s">
        <v>583</v>
      </c>
      <c r="E880" s="494">
        <v>14</v>
      </c>
      <c r="F880" s="105" t="s">
        <v>582</v>
      </c>
      <c r="H880" s="105">
        <f>'Справка 6'!Q42</f>
        <v>127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79">
        <f t="shared" si="53"/>
        <v>43830</v>
      </c>
      <c r="D881" s="105" t="s">
        <v>523</v>
      </c>
      <c r="E881" s="494">
        <v>15</v>
      </c>
      <c r="F881" s="105" t="s">
        <v>522</v>
      </c>
      <c r="H881" s="105">
        <f>'Справка 6'!R11</f>
        <v>50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79">
        <f t="shared" si="53"/>
        <v>43830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79">
        <f t="shared" si="53"/>
        <v>43830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79">
        <f t="shared" si="53"/>
        <v>43830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79">
        <f t="shared" si="53"/>
        <v>43830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79">
        <f t="shared" si="53"/>
        <v>43830</v>
      </c>
      <c r="D886" s="105" t="s">
        <v>537</v>
      </c>
      <c r="E886" s="494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79">
        <f t="shared" si="53"/>
        <v>43830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79">
        <f t="shared" si="53"/>
        <v>43830</v>
      </c>
      <c r="D888" s="105" t="s">
        <v>543</v>
      </c>
      <c r="E888" s="494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79">
        <f t="shared" si="53"/>
        <v>43830</v>
      </c>
      <c r="D889" s="105" t="s">
        <v>545</v>
      </c>
      <c r="E889" s="494">
        <v>15</v>
      </c>
      <c r="F889" s="105" t="s">
        <v>828</v>
      </c>
      <c r="H889" s="105">
        <f>'Справка 6'!R19</f>
        <v>93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79">
        <f t="shared" si="53"/>
        <v>43830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79">
        <f t="shared" si="53"/>
        <v>43830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79">
        <f t="shared" si="53"/>
        <v>43830</v>
      </c>
      <c r="D892" s="105" t="s">
        <v>553</v>
      </c>
      <c r="E892" s="494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79">
        <f t="shared" si="53"/>
        <v>43830</v>
      </c>
      <c r="D893" s="105" t="s">
        <v>555</v>
      </c>
      <c r="E893" s="494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79">
        <f t="shared" si="53"/>
        <v>43830</v>
      </c>
      <c r="D894" s="105" t="s">
        <v>557</v>
      </c>
      <c r="E894" s="494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79">
        <f t="shared" si="53"/>
        <v>43830</v>
      </c>
      <c r="D895" s="105" t="s">
        <v>558</v>
      </c>
      <c r="E895" s="494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79">
        <f t="shared" si="53"/>
        <v>43830</v>
      </c>
      <c r="D896" s="105" t="s">
        <v>560</v>
      </c>
      <c r="E896" s="494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79">
        <f t="shared" si="53"/>
        <v>43830</v>
      </c>
      <c r="D897" s="105" t="s">
        <v>562</v>
      </c>
      <c r="E897" s="494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79">
        <f t="shared" si="53"/>
        <v>43830</v>
      </c>
      <c r="D898" s="105" t="s">
        <v>563</v>
      </c>
      <c r="E898" s="494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79">
        <f t="shared" si="53"/>
        <v>43830</v>
      </c>
      <c r="D899" s="105" t="s">
        <v>564</v>
      </c>
      <c r="E899" s="494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79">
        <f t="shared" si="53"/>
        <v>43830</v>
      </c>
      <c r="D900" s="105" t="s">
        <v>565</v>
      </c>
      <c r="E900" s="494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79">
        <f t="shared" si="53"/>
        <v>43830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79">
        <f t="shared" si="53"/>
        <v>43830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79">
        <f t="shared" si="53"/>
        <v>43830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79">
        <f t="shared" si="53"/>
        <v>43830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79">
        <f t="shared" si="53"/>
        <v>43830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79">
        <f t="shared" si="53"/>
        <v>43830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79">
        <f t="shared" si="53"/>
        <v>43830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79">
        <f t="shared" si="53"/>
        <v>43830</v>
      </c>
      <c r="D908" s="105" t="s">
        <v>578</v>
      </c>
      <c r="E908" s="494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79">
        <f t="shared" si="53"/>
        <v>43830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79">
        <f t="shared" si="53"/>
        <v>43830</v>
      </c>
      <c r="D910" s="105" t="s">
        <v>583</v>
      </c>
      <c r="E910" s="494">
        <v>15</v>
      </c>
      <c r="F910" s="105" t="s">
        <v>582</v>
      </c>
      <c r="H910" s="105">
        <f>'Справка 6'!R42</f>
        <v>1222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79">
        <f aca="true" t="shared" si="56" ref="C912:C975">endDate</f>
        <v>43830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79">
        <f t="shared" si="56"/>
        <v>43830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399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79">
        <f t="shared" si="56"/>
        <v>43830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399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79">
        <f t="shared" si="56"/>
        <v>43830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79">
        <f t="shared" si="56"/>
        <v>43830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79">
        <f t="shared" si="56"/>
        <v>43830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79">
        <f t="shared" si="56"/>
        <v>43830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79">
        <f t="shared" si="56"/>
        <v>43830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79">
        <f t="shared" si="56"/>
        <v>43830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79">
        <f t="shared" si="56"/>
        <v>43830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399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79">
        <f t="shared" si="56"/>
        <v>43830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108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79">
        <f t="shared" si="56"/>
        <v>43830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233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79">
        <f t="shared" si="56"/>
        <v>43830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79">
        <f t="shared" si="56"/>
        <v>43830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146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79">
        <f t="shared" si="56"/>
        <v>43830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87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79">
        <f t="shared" si="56"/>
        <v>43830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285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79">
        <f t="shared" si="56"/>
        <v>43830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2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79">
        <f t="shared" si="56"/>
        <v>43830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79">
        <f t="shared" si="56"/>
        <v>43830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79">
        <f t="shared" si="56"/>
        <v>43830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79">
        <f t="shared" si="56"/>
        <v>43830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79">
        <f t="shared" si="56"/>
        <v>43830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79">
        <f t="shared" si="56"/>
        <v>43830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79">
        <f t="shared" si="56"/>
        <v>43830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79">
        <f t="shared" si="56"/>
        <v>43830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79">
        <f t="shared" si="56"/>
        <v>43830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79">
        <f t="shared" si="56"/>
        <v>43830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79">
        <f t="shared" si="56"/>
        <v>43830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79">
        <f t="shared" si="56"/>
        <v>43830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79">
        <f t="shared" si="56"/>
        <v>43830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79">
        <f t="shared" si="56"/>
        <v>43830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520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79">
        <f t="shared" si="56"/>
        <v>43830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1027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79">
        <f t="shared" si="56"/>
        <v>43830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79">
        <f t="shared" si="56"/>
        <v>43830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79">
        <f t="shared" si="56"/>
        <v>43830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79">
        <f t="shared" si="56"/>
        <v>43830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79">
        <f t="shared" si="56"/>
        <v>43830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79">
        <f t="shared" si="56"/>
        <v>43830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79">
        <f t="shared" si="56"/>
        <v>43830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79">
        <f t="shared" si="56"/>
        <v>43830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79">
        <f t="shared" si="56"/>
        <v>43830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79">
        <f t="shared" si="56"/>
        <v>43830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79">
        <f t="shared" si="56"/>
        <v>43830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79">
        <f t="shared" si="56"/>
        <v>43830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233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79">
        <f t="shared" si="56"/>
        <v>43830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79">
        <f t="shared" si="56"/>
        <v>43830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146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79">
        <f t="shared" si="56"/>
        <v>43830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87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79">
        <f t="shared" si="56"/>
        <v>43830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285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79">
        <f t="shared" si="56"/>
        <v>43830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79">
        <f t="shared" si="56"/>
        <v>43830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79">
        <f t="shared" si="56"/>
        <v>43830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79">
        <f t="shared" si="56"/>
        <v>43830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79">
        <f t="shared" si="56"/>
        <v>43830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79">
        <f t="shared" si="56"/>
        <v>43830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79">
        <f t="shared" si="56"/>
        <v>43830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79">
        <f t="shared" si="56"/>
        <v>43830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79">
        <f t="shared" si="56"/>
        <v>43830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79">
        <f t="shared" si="56"/>
        <v>43830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79">
        <f t="shared" si="56"/>
        <v>43830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79">
        <f t="shared" si="56"/>
        <v>43830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79">
        <f t="shared" si="56"/>
        <v>43830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79">
        <f t="shared" si="56"/>
        <v>43830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79">
        <f t="shared" si="56"/>
        <v>43830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520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79">
        <f t="shared" si="56"/>
        <v>43830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520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79">
        <f aca="true" t="shared" si="59" ref="C976:C1039">endDate</f>
        <v>43830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79">
        <f t="shared" si="59"/>
        <v>43830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399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79">
        <f t="shared" si="59"/>
        <v>43830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399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79">
        <f t="shared" si="59"/>
        <v>43830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79">
        <f t="shared" si="59"/>
        <v>43830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79">
        <f t="shared" si="59"/>
        <v>43830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79">
        <f t="shared" si="59"/>
        <v>43830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79">
        <f t="shared" si="59"/>
        <v>43830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79">
        <f t="shared" si="59"/>
        <v>43830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79">
        <f t="shared" si="59"/>
        <v>43830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399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79">
        <f t="shared" si="59"/>
        <v>43830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108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79">
        <f t="shared" si="59"/>
        <v>43830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79">
        <f t="shared" si="59"/>
        <v>43830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79">
        <f t="shared" si="59"/>
        <v>43830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79">
        <f t="shared" si="59"/>
        <v>43830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79">
        <f t="shared" si="59"/>
        <v>43830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79">
        <f t="shared" si="59"/>
        <v>43830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79">
        <f t="shared" si="59"/>
        <v>43830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79">
        <f t="shared" si="59"/>
        <v>43830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79">
        <f t="shared" si="59"/>
        <v>43830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79">
        <f t="shared" si="59"/>
        <v>43830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79">
        <f t="shared" si="59"/>
        <v>43830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79">
        <f t="shared" si="59"/>
        <v>43830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79">
        <f t="shared" si="59"/>
        <v>43830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79">
        <f t="shared" si="59"/>
        <v>43830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79">
        <f t="shared" si="59"/>
        <v>43830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79">
        <f t="shared" si="59"/>
        <v>43830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79">
        <f t="shared" si="59"/>
        <v>43830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79">
        <f t="shared" si="59"/>
        <v>43830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79">
        <f t="shared" si="59"/>
        <v>43830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79">
        <f t="shared" si="59"/>
        <v>43830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79">
        <f t="shared" si="59"/>
        <v>43830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507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79">
        <f t="shared" si="59"/>
        <v>43830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79">
        <f t="shared" si="59"/>
        <v>43830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79">
        <f t="shared" si="59"/>
        <v>43830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79">
        <f t="shared" si="59"/>
        <v>43830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79">
        <f t="shared" si="59"/>
        <v>43830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79">
        <f t="shared" si="59"/>
        <v>43830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79">
        <f t="shared" si="59"/>
        <v>43830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79">
        <f t="shared" si="59"/>
        <v>43830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79">
        <f t="shared" si="59"/>
        <v>43830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79">
        <f t="shared" si="59"/>
        <v>43830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79">
        <f t="shared" si="59"/>
        <v>43830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79">
        <f t="shared" si="59"/>
        <v>43830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79">
        <f t="shared" si="59"/>
        <v>43830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79">
        <f t="shared" si="59"/>
        <v>43830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79">
        <f t="shared" si="59"/>
        <v>43830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11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79">
        <f t="shared" si="59"/>
        <v>43830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79">
        <f t="shared" si="59"/>
        <v>43830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384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79">
        <f t="shared" si="59"/>
        <v>43830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77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79">
        <f t="shared" si="59"/>
        <v>43830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79">
        <f t="shared" si="59"/>
        <v>43830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79">
        <f t="shared" si="59"/>
        <v>43830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79">
        <f t="shared" si="59"/>
        <v>43830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79">
        <f t="shared" si="59"/>
        <v>43830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79">
        <f t="shared" si="59"/>
        <v>43830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79">
        <f t="shared" si="59"/>
        <v>43830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79">
        <f t="shared" si="59"/>
        <v>43830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79">
        <f t="shared" si="59"/>
        <v>43830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79">
        <f t="shared" si="59"/>
        <v>43830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79">
        <f t="shared" si="59"/>
        <v>43830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79">
        <f t="shared" si="59"/>
        <v>43830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79">
        <f t="shared" si="59"/>
        <v>43830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1891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79">
        <f t="shared" si="59"/>
        <v>43830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194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79">
        <f aca="true" t="shared" si="62" ref="C1040:C1103">endDate</f>
        <v>43830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1143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79">
        <f t="shared" si="62"/>
        <v>43830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84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79">
        <f t="shared" si="62"/>
        <v>43830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26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79">
        <f t="shared" si="62"/>
        <v>43830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307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79">
        <f t="shared" si="62"/>
        <v>43830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79">
        <f t="shared" si="62"/>
        <v>43830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165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79">
        <f t="shared" si="62"/>
        <v>43830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142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79">
        <f t="shared" si="62"/>
        <v>43830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137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79">
        <f t="shared" si="62"/>
        <v>43830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79">
        <f t="shared" si="62"/>
        <v>43830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2275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79">
        <f t="shared" si="62"/>
        <v>43830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2286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79">
        <f t="shared" si="62"/>
        <v>43830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79">
        <f t="shared" si="62"/>
        <v>43830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79">
        <f t="shared" si="62"/>
        <v>43830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79">
        <f t="shared" si="62"/>
        <v>43830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79">
        <f t="shared" si="62"/>
        <v>43830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79">
        <f t="shared" si="62"/>
        <v>43830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79">
        <f t="shared" si="62"/>
        <v>43830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79">
        <f t="shared" si="62"/>
        <v>43830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79">
        <f t="shared" si="62"/>
        <v>43830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79">
        <f t="shared" si="62"/>
        <v>43830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79">
        <f t="shared" si="62"/>
        <v>43830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79">
        <f t="shared" si="62"/>
        <v>43830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79">
        <f t="shared" si="62"/>
        <v>43830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79">
        <f t="shared" si="62"/>
        <v>43830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79">
        <f t="shared" si="62"/>
        <v>43830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79">
        <f t="shared" si="62"/>
        <v>43830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79">
        <f t="shared" si="62"/>
        <v>43830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384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79">
        <f t="shared" si="62"/>
        <v>43830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77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79">
        <f t="shared" si="62"/>
        <v>43830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79">
        <f t="shared" si="62"/>
        <v>43830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79">
        <f t="shared" si="62"/>
        <v>43830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79">
        <f t="shared" si="62"/>
        <v>43830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79">
        <f t="shared" si="62"/>
        <v>43830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79">
        <f t="shared" si="62"/>
        <v>43830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79">
        <f t="shared" si="62"/>
        <v>43830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79">
        <f t="shared" si="62"/>
        <v>43830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79">
        <f t="shared" si="62"/>
        <v>43830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79">
        <f t="shared" si="62"/>
        <v>43830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79">
        <f t="shared" si="62"/>
        <v>43830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79">
        <f t="shared" si="62"/>
        <v>43830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79">
        <f t="shared" si="62"/>
        <v>43830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1891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79">
        <f t="shared" si="62"/>
        <v>43830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194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79">
        <f t="shared" si="62"/>
        <v>43830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1143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79">
        <f t="shared" si="62"/>
        <v>43830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84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79">
        <f t="shared" si="62"/>
        <v>43830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26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79">
        <f t="shared" si="62"/>
        <v>43830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307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79">
        <f t="shared" si="62"/>
        <v>43830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79">
        <f t="shared" si="62"/>
        <v>43830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165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79">
        <f t="shared" si="62"/>
        <v>43830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142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79">
        <f t="shared" si="62"/>
        <v>43830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137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79">
        <f t="shared" si="62"/>
        <v>43830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79">
        <f t="shared" si="62"/>
        <v>43830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2275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79">
        <f t="shared" si="62"/>
        <v>43830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2275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79">
        <f t="shared" si="62"/>
        <v>43830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79">
        <f t="shared" si="62"/>
        <v>43830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79">
        <f t="shared" si="62"/>
        <v>43830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79">
        <f t="shared" si="62"/>
        <v>43830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79">
        <f t="shared" si="62"/>
        <v>43830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79">
        <f t="shared" si="62"/>
        <v>43830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79">
        <f t="shared" si="62"/>
        <v>43830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79">
        <f t="shared" si="62"/>
        <v>43830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79">
        <f t="shared" si="62"/>
        <v>43830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79">
        <f t="shared" si="62"/>
        <v>43830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79">
        <f aca="true" t="shared" si="65" ref="C1104:C1167">endDate</f>
        <v>43830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79">
        <f t="shared" si="65"/>
        <v>43830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79">
        <f t="shared" si="65"/>
        <v>43830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79">
        <f t="shared" si="65"/>
        <v>43830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79">
        <f t="shared" si="65"/>
        <v>43830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11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79">
        <f t="shared" si="65"/>
        <v>43830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79">
        <f t="shared" si="65"/>
        <v>43830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79">
        <f t="shared" si="65"/>
        <v>43830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79">
        <f t="shared" si="65"/>
        <v>43830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79">
        <f t="shared" si="65"/>
        <v>43830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79">
        <f t="shared" si="65"/>
        <v>43830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79">
        <f t="shared" si="65"/>
        <v>43830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79">
        <f t="shared" si="65"/>
        <v>43830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79">
        <f t="shared" si="65"/>
        <v>43830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79">
        <f t="shared" si="65"/>
        <v>43830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79">
        <f t="shared" si="65"/>
        <v>43830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79">
        <f t="shared" si="65"/>
        <v>43830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79">
        <f t="shared" si="65"/>
        <v>43830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79">
        <f t="shared" si="65"/>
        <v>43830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79">
        <f t="shared" si="65"/>
        <v>43830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79">
        <f t="shared" si="65"/>
        <v>43830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79">
        <f t="shared" si="65"/>
        <v>43830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79">
        <f t="shared" si="65"/>
        <v>43830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79">
        <f t="shared" si="65"/>
        <v>43830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79">
        <f t="shared" si="65"/>
        <v>43830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79">
        <f t="shared" si="65"/>
        <v>43830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79">
        <f t="shared" si="65"/>
        <v>43830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79">
        <f t="shared" si="65"/>
        <v>43830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79">
        <f t="shared" si="65"/>
        <v>43830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79">
        <f t="shared" si="65"/>
        <v>43830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79">
        <f t="shared" si="65"/>
        <v>43830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79">
        <f t="shared" si="65"/>
        <v>43830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79">
        <f t="shared" si="65"/>
        <v>43830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11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79">
        <f t="shared" si="65"/>
        <v>43830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79">
        <f t="shared" si="65"/>
        <v>43830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79">
        <f t="shared" si="65"/>
        <v>43830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79">
        <f t="shared" si="65"/>
        <v>43830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79">
        <f t="shared" si="65"/>
        <v>43830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79">
        <f t="shared" si="65"/>
        <v>43830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79">
        <f t="shared" si="65"/>
        <v>43830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79">
        <f t="shared" si="65"/>
        <v>43830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79">
        <f t="shared" si="65"/>
        <v>43830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79">
        <f t="shared" si="65"/>
        <v>43830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79">
        <f t="shared" si="65"/>
        <v>43830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79">
        <f t="shared" si="65"/>
        <v>43830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79">
        <f t="shared" si="65"/>
        <v>43830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79">
        <f t="shared" si="65"/>
        <v>43830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79">
        <f t="shared" si="65"/>
        <v>43830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79">
        <f t="shared" si="65"/>
        <v>43830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79">
        <f t="shared" si="65"/>
        <v>43830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79">
        <f t="shared" si="65"/>
        <v>43830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79">
        <f t="shared" si="65"/>
        <v>43830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79">
        <f t="shared" si="65"/>
        <v>43830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79">
        <f t="shared" si="65"/>
        <v>43830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79">
        <f t="shared" si="65"/>
        <v>43830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79">
        <f t="shared" si="65"/>
        <v>43830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79">
        <f t="shared" si="65"/>
        <v>43830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79">
        <f t="shared" si="65"/>
        <v>43830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79">
        <f t="shared" si="65"/>
        <v>43830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79">
        <f t="shared" si="65"/>
        <v>43830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79">
        <f t="shared" si="65"/>
        <v>43830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79">
        <f t="shared" si="65"/>
        <v>43830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79">
        <f t="shared" si="65"/>
        <v>43830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79">
        <f t="shared" si="65"/>
        <v>43830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79">
        <f aca="true" t="shared" si="68" ref="C1168:C1195">endDate</f>
        <v>43830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79">
        <f t="shared" si="68"/>
        <v>43830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79">
        <f t="shared" si="68"/>
        <v>43830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79">
        <f t="shared" si="68"/>
        <v>43830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79">
        <f t="shared" si="68"/>
        <v>43830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79">
        <f t="shared" si="68"/>
        <v>43830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79">
        <f t="shared" si="68"/>
        <v>43830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79">
        <f t="shared" si="68"/>
        <v>43830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79">
        <f t="shared" si="68"/>
        <v>43830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79">
        <f t="shared" si="68"/>
        <v>43830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79">
        <f t="shared" si="68"/>
        <v>43830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79">
        <f t="shared" si="68"/>
        <v>43830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79">
        <f t="shared" si="68"/>
        <v>43830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79">
        <f t="shared" si="68"/>
        <v>43830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79">
        <f t="shared" si="68"/>
        <v>43830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79">
        <f t="shared" si="68"/>
        <v>43830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79">
        <f t="shared" si="68"/>
        <v>43830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79">
        <f t="shared" si="68"/>
        <v>43830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79">
        <f t="shared" si="68"/>
        <v>43830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79">
        <f t="shared" si="68"/>
        <v>43830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79">
        <f t="shared" si="68"/>
        <v>43830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79">
        <f t="shared" si="68"/>
        <v>43830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79">
        <f t="shared" si="68"/>
        <v>43830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79">
        <f t="shared" si="68"/>
        <v>43830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79">
        <f t="shared" si="68"/>
        <v>43830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79">
        <f t="shared" si="68"/>
        <v>43830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79">
        <f t="shared" si="68"/>
        <v>43830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79">
        <f t="shared" si="68"/>
        <v>43830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79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79">
        <f t="shared" si="71"/>
        <v>43830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79">
        <f t="shared" si="71"/>
        <v>43830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79">
        <f t="shared" si="71"/>
        <v>43830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79">
        <f t="shared" si="71"/>
        <v>43830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79">
        <f t="shared" si="71"/>
        <v>43830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79">
        <f t="shared" si="71"/>
        <v>43830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79">
        <f t="shared" si="71"/>
        <v>43830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79">
        <f t="shared" si="71"/>
        <v>43830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79">
        <f t="shared" si="71"/>
        <v>43830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79">
        <f t="shared" si="71"/>
        <v>43830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79">
        <f t="shared" si="71"/>
        <v>43830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79">
        <f t="shared" si="71"/>
        <v>43830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79">
        <f t="shared" si="71"/>
        <v>43830</v>
      </c>
      <c r="D1210" s="105" t="s">
        <v>786</v>
      </c>
      <c r="E1210" s="105">
        <v>1</v>
      </c>
      <c r="F1210" s="105" t="s">
        <v>771</v>
      </c>
      <c r="H1210" s="496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79">
        <f t="shared" si="71"/>
        <v>43830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79">
        <f t="shared" si="71"/>
        <v>43830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79">
        <f t="shared" si="71"/>
        <v>43830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79">
        <f t="shared" si="71"/>
        <v>43830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79">
        <f t="shared" si="71"/>
        <v>43830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79">
        <f t="shared" si="71"/>
        <v>43830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79">
        <f t="shared" si="71"/>
        <v>43830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79">
        <f t="shared" si="71"/>
        <v>43830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79">
        <f t="shared" si="71"/>
        <v>43830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79">
        <f t="shared" si="71"/>
        <v>43830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79">
        <f t="shared" si="71"/>
        <v>43830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79">
        <f t="shared" si="71"/>
        <v>43830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79">
        <f t="shared" si="71"/>
        <v>43830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79">
        <f t="shared" si="71"/>
        <v>43830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79">
        <f t="shared" si="71"/>
        <v>43830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79">
        <f t="shared" si="71"/>
        <v>43830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79">
        <f t="shared" si="71"/>
        <v>43830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79">
        <f t="shared" si="71"/>
        <v>43830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79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79">
        <f t="shared" si="74"/>
        <v>43830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79">
        <f t="shared" si="74"/>
        <v>43830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79">
        <f t="shared" si="74"/>
        <v>43830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79">
        <f t="shared" si="74"/>
        <v>43830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79">
        <f t="shared" si="74"/>
        <v>43830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79">
        <f t="shared" si="74"/>
        <v>43830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79">
        <f t="shared" si="74"/>
        <v>43830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79">
        <f t="shared" si="74"/>
        <v>43830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79">
        <f t="shared" si="74"/>
        <v>43830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79">
        <f t="shared" si="74"/>
        <v>43830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79">
        <f t="shared" si="74"/>
        <v>43830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79">
        <f t="shared" si="74"/>
        <v>43830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79">
        <f t="shared" si="74"/>
        <v>43830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79">
        <f t="shared" si="74"/>
        <v>43830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79">
        <f t="shared" si="74"/>
        <v>43830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79">
        <f t="shared" si="74"/>
        <v>43830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79">
        <f t="shared" si="74"/>
        <v>43830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79">
        <f t="shared" si="74"/>
        <v>43830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79">
        <f t="shared" si="74"/>
        <v>43830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79">
        <f t="shared" si="74"/>
        <v>43830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79">
        <f t="shared" si="74"/>
        <v>43830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79">
        <f t="shared" si="74"/>
        <v>43830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79">
        <f t="shared" si="74"/>
        <v>43830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79">
        <f t="shared" si="74"/>
        <v>43830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79">
        <f t="shared" si="74"/>
        <v>43830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79">
        <f t="shared" si="74"/>
        <v>43830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79">
        <f t="shared" si="74"/>
        <v>43830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79">
        <f t="shared" si="74"/>
        <v>43830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79">
        <f t="shared" si="74"/>
        <v>43830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79">
        <f t="shared" si="74"/>
        <v>43830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79">
        <f t="shared" si="74"/>
        <v>43830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79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79">
        <f t="shared" si="77"/>
        <v>43830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79">
        <f t="shared" si="77"/>
        <v>43830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79">
        <f t="shared" si="77"/>
        <v>43830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79">
        <f t="shared" si="77"/>
        <v>43830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79">
        <f t="shared" si="77"/>
        <v>43830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79">
        <f t="shared" si="77"/>
        <v>43830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79">
        <f t="shared" si="77"/>
        <v>43830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79">
        <f t="shared" si="77"/>
        <v>43830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79">
        <f t="shared" si="77"/>
        <v>43830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79">
        <f t="shared" si="77"/>
        <v>43830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79">
        <f t="shared" si="77"/>
        <v>43830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79">
        <f t="shared" si="77"/>
        <v>43830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79">
        <f t="shared" si="77"/>
        <v>43830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79">
        <f t="shared" si="77"/>
        <v>43830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79">
        <f t="shared" si="77"/>
        <v>43830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79">
        <f t="shared" si="77"/>
        <v>43830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79">
        <f t="shared" si="77"/>
        <v>43830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79">
        <f t="shared" si="77"/>
        <v>43830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79">
        <f t="shared" si="77"/>
        <v>43830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79">
        <f t="shared" si="77"/>
        <v>43830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79">
        <f t="shared" si="77"/>
        <v>43830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79">
        <f t="shared" si="77"/>
        <v>43830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79">
        <f t="shared" si="77"/>
        <v>43830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79">
        <f t="shared" si="77"/>
        <v>43830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79">
        <f t="shared" si="77"/>
        <v>43830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79">
        <f t="shared" si="77"/>
        <v>43830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79">
        <f t="shared" si="77"/>
        <v>43830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79">
        <f t="shared" si="77"/>
        <v>43830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79">
        <f t="shared" si="77"/>
        <v>43830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79">
        <f t="shared" si="77"/>
        <v>43830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79">
        <f t="shared" si="77"/>
        <v>43830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79">
        <f t="shared" si="77"/>
        <v>43830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79">
        <f t="shared" si="77"/>
        <v>43830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79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6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79">
        <f t="shared" si="80"/>
        <v>43830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79">
        <f t="shared" si="80"/>
        <v>43830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79">
        <f t="shared" si="80"/>
        <v>43830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79">
        <f t="shared" si="80"/>
        <v>43830</v>
      </c>
      <c r="D1300" s="105" t="s">
        <v>802</v>
      </c>
      <c r="E1300" s="105">
        <v>1</v>
      </c>
      <c r="F1300" s="105" t="s">
        <v>791</v>
      </c>
      <c r="H1300" s="496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79">
        <f t="shared" si="80"/>
        <v>43830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79">
        <f t="shared" si="80"/>
        <v>43830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79">
        <f t="shared" si="80"/>
        <v>43830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79">
        <f t="shared" si="80"/>
        <v>43830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79">
        <f t="shared" si="80"/>
        <v>43830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79">
        <f t="shared" si="80"/>
        <v>43830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79">
        <f t="shared" si="80"/>
        <v>43830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79">
        <f t="shared" si="80"/>
        <v>43830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79">
        <f t="shared" si="80"/>
        <v>43830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79">
        <f t="shared" si="80"/>
        <v>43830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79">
        <f t="shared" si="80"/>
        <v>43830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79">
        <f t="shared" si="80"/>
        <v>43830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79">
        <f t="shared" si="80"/>
        <v>43830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79">
        <f t="shared" si="80"/>
        <v>43830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79">
        <f t="shared" si="80"/>
        <v>43830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79">
        <f t="shared" si="80"/>
        <v>43830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79">
        <f t="shared" si="80"/>
        <v>43830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79">
        <f t="shared" si="80"/>
        <v>43830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79">
        <f t="shared" si="80"/>
        <v>43830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79">
        <f t="shared" si="80"/>
        <v>43830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79">
        <f t="shared" si="80"/>
        <v>43830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79">
        <f t="shared" si="80"/>
        <v>43830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79">
        <f t="shared" si="80"/>
        <v>43830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79">
        <f t="shared" si="80"/>
        <v>43830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79">
        <f t="shared" si="80"/>
        <v>43830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79">
        <f t="shared" si="80"/>
        <v>43830</v>
      </c>
      <c r="D1326" s="105" t="s">
        <v>793</v>
      </c>
      <c r="E1326" s="105">
        <v>4</v>
      </c>
      <c r="F1326" s="105" t="s">
        <v>792</v>
      </c>
      <c r="H1326" s="496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79">
        <f t="shared" si="80"/>
        <v>43830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79">
        <f t="shared" si="80"/>
        <v>43830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79">
        <f t="shared" si="80"/>
        <v>43830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79">
        <f t="shared" si="80"/>
        <v>43830</v>
      </c>
      <c r="D1330" s="105" t="s">
        <v>802</v>
      </c>
      <c r="E1330" s="105">
        <v>4</v>
      </c>
      <c r="F1330" s="105" t="s">
        <v>791</v>
      </c>
      <c r="H1330" s="496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79">
        <f t="shared" si="80"/>
        <v>43830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79">
        <f t="shared" si="80"/>
        <v>43830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79">
        <f t="shared" si="80"/>
        <v>43830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79">
        <f t="shared" si="80"/>
        <v>43830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79">
        <f t="shared" si="80"/>
        <v>43830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>
        <f>50</f>
        <v>50</v>
      </c>
      <c r="D12" s="197">
        <f>171</f>
        <v>171</v>
      </c>
      <c r="E12" s="89" t="s">
        <v>25</v>
      </c>
      <c r="F12" s="93" t="s">
        <v>26</v>
      </c>
      <c r="G12" s="197">
        <f>3400</f>
        <v>3400</v>
      </c>
      <c r="H12" s="197">
        <f>3400</f>
        <v>3400</v>
      </c>
    </row>
    <row r="13" spans="1:8" ht="15.75">
      <c r="A13" s="89" t="s">
        <v>27</v>
      </c>
      <c r="B13" s="91" t="s">
        <v>28</v>
      </c>
      <c r="C13" s="197"/>
      <c r="D13" s="197">
        <f>717</f>
        <v>717</v>
      </c>
      <c r="E13" s="89" t="s">
        <v>846</v>
      </c>
      <c r="F13" s="93" t="s">
        <v>29</v>
      </c>
      <c r="G13" s="197">
        <f>3400</f>
        <v>3400</v>
      </c>
      <c r="H13" s="197">
        <f>3400</f>
        <v>3400</v>
      </c>
    </row>
    <row r="14" spans="1:8" ht="15.75">
      <c r="A14" s="89" t="s">
        <v>30</v>
      </c>
      <c r="B14" s="91" t="s">
        <v>31</v>
      </c>
      <c r="C14" s="197"/>
      <c r="D14" s="197">
        <f>1</f>
        <v>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f>7</f>
        <v>7</v>
      </c>
      <c r="D17" s="197">
        <f>11</f>
        <v>11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79" t="s">
        <v>47</v>
      </c>
      <c r="F18" s="478" t="s">
        <v>48</v>
      </c>
      <c r="G18" s="607">
        <f>G12+G15+G16+G17</f>
        <v>3400</v>
      </c>
      <c r="H18" s="608">
        <f>H12+H15+H16+H17</f>
        <v>3400</v>
      </c>
    </row>
    <row r="19" spans="1:8" ht="15.75">
      <c r="A19" s="89" t="s">
        <v>49</v>
      </c>
      <c r="B19" s="91" t="s">
        <v>50</v>
      </c>
      <c r="C19" s="197">
        <f>36</f>
        <v>36</v>
      </c>
      <c r="D19" s="197">
        <f>36</f>
        <v>36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93</v>
      </c>
      <c r="D20" s="596">
        <f>SUM(D12:D19)</f>
        <v>936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>
        <f>185</f>
        <v>185</v>
      </c>
      <c r="E21" s="89" t="s">
        <v>58</v>
      </c>
      <c r="F21" s="93" t="s">
        <v>59</v>
      </c>
      <c r="G21" s="197">
        <f>2</f>
        <v>2</v>
      </c>
      <c r="H21" s="197">
        <f>210</f>
        <v>210</v>
      </c>
    </row>
    <row r="22" spans="1:13" ht="15.75">
      <c r="A22" s="100" t="s">
        <v>60</v>
      </c>
      <c r="B22" s="97" t="s">
        <v>61</v>
      </c>
      <c r="C22" s="474"/>
      <c r="D22" s="475">
        <f>173</f>
        <v>173</v>
      </c>
      <c r="E22" s="201" t="s">
        <v>62</v>
      </c>
      <c r="F22" s="93" t="s">
        <v>63</v>
      </c>
      <c r="G22" s="611">
        <f>SUM(G23:G25)</f>
        <v>498</v>
      </c>
      <c r="H22" s="612">
        <f>SUM(H23:H25)</f>
        <v>498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7">
        <f>1</f>
        <v>1</v>
      </c>
      <c r="E24" s="202" t="s">
        <v>69</v>
      </c>
      <c r="F24" s="93" t="s">
        <v>70</v>
      </c>
      <c r="G24" s="197">
        <f>498</f>
        <v>498</v>
      </c>
      <c r="H24" s="197">
        <f>498</f>
        <v>498</v>
      </c>
      <c r="M24" s="98"/>
    </row>
    <row r="25" spans="1:8" ht="15.75">
      <c r="A25" s="89" t="s">
        <v>71</v>
      </c>
      <c r="B25" s="91" t="s">
        <v>72</v>
      </c>
      <c r="C25" s="197"/>
      <c r="D25" s="197">
        <f>1</f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5">
        <f>G20+G21+G22</f>
        <v>500</v>
      </c>
      <c r="H26" s="596">
        <f>H20+H21+H22</f>
        <v>708</v>
      </c>
      <c r="M26" s="98"/>
    </row>
    <row r="27" spans="1:8" ht="15.75">
      <c r="A27" s="89" t="s">
        <v>79</v>
      </c>
      <c r="B27" s="91" t="s">
        <v>80</v>
      </c>
      <c r="C27" s="197">
        <f>2</f>
        <v>2</v>
      </c>
      <c r="D27" s="197">
        <f>4</f>
        <v>4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2</v>
      </c>
      <c r="D28" s="596">
        <f>SUM(D24:D27)</f>
        <v>6</v>
      </c>
      <c r="E28" s="202" t="s">
        <v>84</v>
      </c>
      <c r="F28" s="93" t="s">
        <v>85</v>
      </c>
      <c r="G28" s="593">
        <f>SUM(G29:G31)</f>
        <v>-3664</v>
      </c>
      <c r="H28" s="594">
        <f>SUM(H29:H31)</f>
        <v>-3805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f>650+208</f>
        <v>858</v>
      </c>
      <c r="H29" s="197">
        <f>650</f>
        <v>650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f>-4455-67</f>
        <v>-4522</v>
      </c>
      <c r="H30" s="197">
        <f>-4014-441</f>
        <v>-4455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99</f>
        <v>99</v>
      </c>
      <c r="H32" s="197"/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7">
        <f>-67</f>
        <v>-67</v>
      </c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-3565</v>
      </c>
      <c r="H34" s="596">
        <f>H28+H32+H33</f>
        <v>-3872</v>
      </c>
    </row>
    <row r="35" spans="1:8" ht="15.75">
      <c r="A35" s="89" t="s">
        <v>106</v>
      </c>
      <c r="B35" s="94" t="s">
        <v>107</v>
      </c>
      <c r="C35" s="593">
        <f>SUM(C36:C39)</f>
        <v>1127</v>
      </c>
      <c r="D35" s="594">
        <f>SUM(D36:D39)</f>
        <v>1127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f>1127</f>
        <v>1127</v>
      </c>
      <c r="D36" s="197">
        <f>1127</f>
        <v>1127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335</v>
      </c>
      <c r="H37" s="598">
        <f>H26+H18+H34</f>
        <v>236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1" t="s">
        <v>137</v>
      </c>
      <c r="B46" s="96" t="s">
        <v>138</v>
      </c>
      <c r="C46" s="595">
        <f>C35+C40+C45</f>
        <v>1127</v>
      </c>
      <c r="D46" s="596">
        <f>D35+D40+D45</f>
        <v>1127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f>399</f>
        <v>399</v>
      </c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11</f>
        <v>11</v>
      </c>
      <c r="H49" s="197">
        <f>11</f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11</v>
      </c>
      <c r="H50" s="594">
        <f>SUM(H44:H49)</f>
        <v>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399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6">
        <f>108</f>
        <v>108</v>
      </c>
      <c r="D55" s="476">
        <f>177-51</f>
        <v>126</v>
      </c>
      <c r="E55" s="89" t="s">
        <v>168</v>
      </c>
      <c r="F55" s="95" t="s">
        <v>169</v>
      </c>
      <c r="G55" s="197"/>
      <c r="H55" s="197">
        <f>111</f>
        <v>111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1729</v>
      </c>
      <c r="D56" s="600">
        <f>D20+D21+D22+D28+D33+D46+D52+D54+D55</f>
        <v>2553</v>
      </c>
      <c r="E56" s="100" t="s">
        <v>850</v>
      </c>
      <c r="F56" s="99" t="s">
        <v>172</v>
      </c>
      <c r="G56" s="597">
        <f>G50+G52+G53+G54+G55</f>
        <v>11</v>
      </c>
      <c r="H56" s="598">
        <f>H50+H52+H53+H54+H55</f>
        <v>122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f>94+19</f>
        <v>113</v>
      </c>
      <c r="D59" s="197">
        <f>127+18</f>
        <v>145</v>
      </c>
      <c r="E59" s="201" t="s">
        <v>180</v>
      </c>
      <c r="F59" s="484" t="s">
        <v>181</v>
      </c>
      <c r="G59" s="197"/>
      <c r="H59" s="197">
        <f>416+237+161+168</f>
        <v>982</v>
      </c>
    </row>
    <row r="60" spans="1:13" ht="15.75">
      <c r="A60" s="89" t="s">
        <v>178</v>
      </c>
      <c r="B60" s="91" t="s">
        <v>179</v>
      </c>
      <c r="C60" s="197">
        <f>50</f>
        <v>50</v>
      </c>
      <c r="D60" s="197">
        <f>90</f>
        <v>90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9+5</f>
        <v>14</v>
      </c>
      <c r="D61" s="197">
        <f>13+5</f>
        <v>18</v>
      </c>
      <c r="E61" s="200" t="s">
        <v>188</v>
      </c>
      <c r="F61" s="93" t="s">
        <v>189</v>
      </c>
      <c r="G61" s="593">
        <f>SUM(G62:G68)</f>
        <v>2275</v>
      </c>
      <c r="H61" s="594">
        <f>SUM(H62:H68)</f>
        <v>2517</v>
      </c>
    </row>
    <row r="62" spans="1:13" ht="15.75">
      <c r="A62" s="89" t="s">
        <v>186</v>
      </c>
      <c r="B62" s="94" t="s">
        <v>187</v>
      </c>
      <c r="C62" s="197">
        <f>189</f>
        <v>189</v>
      </c>
      <c r="D62" s="197">
        <f>391</f>
        <v>391</v>
      </c>
      <c r="E62" s="200" t="s">
        <v>192</v>
      </c>
      <c r="F62" s="93" t="s">
        <v>193</v>
      </c>
      <c r="G62" s="197">
        <f>307+77</f>
        <v>384</v>
      </c>
      <c r="H62" s="197">
        <f>307+114+7</f>
        <v>428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f>10+3+81+15+33+52</f>
        <v>194</v>
      </c>
      <c r="H63" s="197">
        <f>200+1+12+10+3+92+25+15+33+82</f>
        <v>473</v>
      </c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1126+8+2+7</f>
        <v>1143</v>
      </c>
      <c r="H64" s="197">
        <f>1127-1-25+8+29</f>
        <v>1138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366</v>
      </c>
      <c r="D65" s="596">
        <f>SUM(D59:D64)</f>
        <v>644</v>
      </c>
      <c r="E65" s="89" t="s">
        <v>201</v>
      </c>
      <c r="F65" s="93" t="s">
        <v>202</v>
      </c>
      <c r="G65" s="197">
        <f>84</f>
        <v>84</v>
      </c>
      <c r="H65" s="197">
        <f>174-7</f>
        <v>167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f>26</f>
        <v>26</v>
      </c>
      <c r="H66" s="197">
        <f>26</f>
        <v>26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f>65+18+26+8+15+5</f>
        <v>137</v>
      </c>
      <c r="H67" s="197">
        <f>32+14+13+7+7+4</f>
        <v>77</v>
      </c>
    </row>
    <row r="68" spans="1:8" ht="15.75">
      <c r="A68" s="89" t="s">
        <v>206</v>
      </c>
      <c r="B68" s="91" t="s">
        <v>207</v>
      </c>
      <c r="C68" s="197">
        <f>586-441-15+1+8+79</f>
        <v>218</v>
      </c>
      <c r="D68" s="197">
        <f>506-343+8+289</f>
        <v>460</v>
      </c>
      <c r="E68" s="89" t="s">
        <v>212</v>
      </c>
      <c r="F68" s="93" t="s">
        <v>213</v>
      </c>
      <c r="G68" s="197">
        <f>63+20+133+32+38+12+9</f>
        <v>307</v>
      </c>
      <c r="H68" s="197">
        <f>60+22+62+26+21+9+7+1</f>
        <v>208</v>
      </c>
    </row>
    <row r="69" spans="1:8" ht="15.75">
      <c r="A69" s="89" t="s">
        <v>210</v>
      </c>
      <c r="B69" s="91" t="s">
        <v>211</v>
      </c>
      <c r="C69" s="197">
        <f>290-6-1+2+2+13</f>
        <v>300</v>
      </c>
      <c r="D69" s="197">
        <f>108-10+2+3</f>
        <v>103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f>2</f>
        <v>2</v>
      </c>
      <c r="D70" s="197">
        <f>27</f>
        <v>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2275</v>
      </c>
      <c r="H71" s="596">
        <f>H59+H60+H61+H69+H70</f>
        <v>3499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7"/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520</v>
      </c>
      <c r="D76" s="596">
        <f>SUM(D68:D75)</f>
        <v>590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>
        <v>2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2275</v>
      </c>
      <c r="H79" s="598">
        <f>H71+H73+H75+H77</f>
        <v>3501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f>5</f>
        <v>5</v>
      </c>
      <c r="D88" s="197">
        <f>42</f>
        <v>42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/>
      <c r="D89" s="197">
        <f>28</f>
        <v>28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5</v>
      </c>
      <c r="D92" s="596">
        <f>SUM(D88:D91)</f>
        <v>70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1</v>
      </c>
      <c r="D93" s="477">
        <v>2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892</v>
      </c>
      <c r="D94" s="600">
        <f>D65+D76+D85+D92+D93</f>
        <v>1306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2621</v>
      </c>
      <c r="D95" s="602">
        <f>D94+D56</f>
        <v>3859</v>
      </c>
      <c r="E95" s="229" t="s">
        <v>942</v>
      </c>
      <c r="F95" s="487" t="s">
        <v>268</v>
      </c>
      <c r="G95" s="601">
        <f>G37+G40+G56+G79</f>
        <v>2621</v>
      </c>
      <c r="H95" s="602">
        <f>H37+H40+H56+H79</f>
        <v>3859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977</v>
      </c>
      <c r="B98" s="699">
        <f>pdeReportingDate</f>
        <v>43860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Николай Колев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998</v>
      </c>
      <c r="C103" s="698"/>
      <c r="D103" s="698"/>
      <c r="E103" s="698"/>
      <c r="M103" s="98"/>
    </row>
    <row r="104" spans="1:5" ht="21.75" customHeight="1">
      <c r="A104" s="693"/>
      <c r="B104" s="698"/>
      <c r="C104" s="698"/>
      <c r="D104" s="698"/>
      <c r="E104" s="698"/>
    </row>
    <row r="105" spans="1:13" ht="21.75" customHeight="1">
      <c r="A105" s="693"/>
      <c r="B105" s="698"/>
      <c r="C105" s="698"/>
      <c r="D105" s="698"/>
      <c r="E105" s="698"/>
      <c r="M105" s="98"/>
    </row>
    <row r="106" spans="1:5" ht="21.75" customHeight="1">
      <c r="A106" s="693"/>
      <c r="B106" s="698"/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f>180</f>
        <v>180</v>
      </c>
      <c r="D12" s="314">
        <f>822</f>
        <v>822</v>
      </c>
      <c r="E12" s="194" t="s">
        <v>277</v>
      </c>
      <c r="F12" s="240" t="s">
        <v>278</v>
      </c>
      <c r="G12" s="314">
        <f>869</f>
        <v>869</v>
      </c>
      <c r="H12" s="314">
        <f>2231</f>
        <v>2231</v>
      </c>
    </row>
    <row r="13" spans="1:8" ht="15.75">
      <c r="A13" s="194" t="s">
        <v>279</v>
      </c>
      <c r="B13" s="190" t="s">
        <v>280</v>
      </c>
      <c r="C13" s="314">
        <f>309</f>
        <v>309</v>
      </c>
      <c r="D13" s="314">
        <f>308</f>
        <v>308</v>
      </c>
      <c r="E13" s="194" t="s">
        <v>281</v>
      </c>
      <c r="F13" s="240" t="s">
        <v>282</v>
      </c>
      <c r="G13" s="314">
        <f>57</f>
        <v>57</v>
      </c>
      <c r="H13" s="314">
        <f>17</f>
        <v>17</v>
      </c>
    </row>
    <row r="14" spans="1:8" ht="15.75">
      <c r="A14" s="194" t="s">
        <v>283</v>
      </c>
      <c r="B14" s="190" t="s">
        <v>284</v>
      </c>
      <c r="C14" s="314">
        <f>14</f>
        <v>14</v>
      </c>
      <c r="D14" s="314">
        <f>20</f>
        <v>20</v>
      </c>
      <c r="E14" s="245" t="s">
        <v>285</v>
      </c>
      <c r="F14" s="240" t="s">
        <v>286</v>
      </c>
      <c r="G14" s="314">
        <f>351</f>
        <v>351</v>
      </c>
      <c r="H14" s="314">
        <f>7</f>
        <v>7</v>
      </c>
    </row>
    <row r="15" spans="1:8" ht="15.75">
      <c r="A15" s="194" t="s">
        <v>287</v>
      </c>
      <c r="B15" s="190" t="s">
        <v>288</v>
      </c>
      <c r="C15" s="314">
        <f>390</f>
        <v>390</v>
      </c>
      <c r="D15" s="314">
        <f>407</f>
        <v>407</v>
      </c>
      <c r="E15" s="245" t="s">
        <v>79</v>
      </c>
      <c r="F15" s="240" t="s">
        <v>289</v>
      </c>
      <c r="G15" s="314">
        <f>1655</f>
        <v>1655</v>
      </c>
      <c r="H15" s="314">
        <f>138</f>
        <v>138</v>
      </c>
    </row>
    <row r="16" spans="1:8" ht="15.75">
      <c r="A16" s="194" t="s">
        <v>290</v>
      </c>
      <c r="B16" s="190" t="s">
        <v>291</v>
      </c>
      <c r="C16" s="314">
        <f>62</f>
        <v>62</v>
      </c>
      <c r="D16" s="314">
        <f>58</f>
        <v>58</v>
      </c>
      <c r="E16" s="236" t="s">
        <v>52</v>
      </c>
      <c r="F16" s="264" t="s">
        <v>292</v>
      </c>
      <c r="G16" s="626">
        <f>SUM(G12:G15)</f>
        <v>2932</v>
      </c>
      <c r="H16" s="627">
        <f>SUM(H12:H15)</f>
        <v>2393</v>
      </c>
    </row>
    <row r="17" spans="1:8" ht="31.5">
      <c r="A17" s="194" t="s">
        <v>293</v>
      </c>
      <c r="B17" s="190" t="s">
        <v>294</v>
      </c>
      <c r="C17" s="314">
        <f>1258</f>
        <v>1258</v>
      </c>
      <c r="D17" s="314">
        <f>16</f>
        <v>16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f>409</f>
        <v>409</v>
      </c>
      <c r="D18" s="314">
        <f>326</f>
        <v>326</v>
      </c>
      <c r="E18" s="234" t="s">
        <v>297</v>
      </c>
      <c r="F18" s="238" t="s">
        <v>298</v>
      </c>
      <c r="G18" s="637">
        <f>113</f>
        <v>113</v>
      </c>
      <c r="H18" s="637">
        <v>2</v>
      </c>
    </row>
    <row r="19" spans="1:8" ht="15.75">
      <c r="A19" s="194" t="s">
        <v>299</v>
      </c>
      <c r="B19" s="190" t="s">
        <v>300</v>
      </c>
      <c r="C19" s="314">
        <f>237</f>
        <v>237</v>
      </c>
      <c r="D19" s="314">
        <f>301</f>
        <v>301</v>
      </c>
      <c r="E19" s="194" t="s">
        <v>301</v>
      </c>
      <c r="F19" s="237" t="s">
        <v>302</v>
      </c>
      <c r="G19" s="314">
        <f>113</f>
        <v>113</v>
      </c>
      <c r="H19" s="314">
        <v>2</v>
      </c>
    </row>
    <row r="20" spans="1:8" ht="15.75">
      <c r="A20" s="235" t="s">
        <v>303</v>
      </c>
      <c r="B20" s="190" t="s">
        <v>304</v>
      </c>
      <c r="C20" s="314">
        <f>120</f>
        <v>120</v>
      </c>
      <c r="D20" s="314">
        <f>133</f>
        <v>133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2859</v>
      </c>
      <c r="D22" s="627">
        <f>SUM(D12:D18)+D19</f>
        <v>2258</v>
      </c>
      <c r="E22" s="194" t="s">
        <v>309</v>
      </c>
      <c r="F22" s="237" t="s">
        <v>310</v>
      </c>
      <c r="G22" s="314"/>
      <c r="H22" s="315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5"/>
    </row>
    <row r="25" spans="1:8" ht="31.5">
      <c r="A25" s="194" t="s">
        <v>316</v>
      </c>
      <c r="B25" s="237" t="s">
        <v>317</v>
      </c>
      <c r="C25" s="314">
        <f>69</f>
        <v>69</v>
      </c>
      <c r="D25" s="314">
        <f>148</f>
        <v>148</v>
      </c>
      <c r="E25" s="194" t="s">
        <v>318</v>
      </c>
      <c r="F25" s="237" t="s">
        <v>319</v>
      </c>
      <c r="G25" s="314"/>
      <c r="H25" s="315"/>
    </row>
    <row r="26" spans="1:8" ht="31.5">
      <c r="A26" s="194" t="s">
        <v>320</v>
      </c>
      <c r="B26" s="237" t="s">
        <v>321</v>
      </c>
      <c r="C26" s="314"/>
      <c r="D26" s="315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/>
      <c r="D27" s="315"/>
      <c r="E27" s="236" t="s">
        <v>104</v>
      </c>
      <c r="F27" s="238" t="s">
        <v>326</v>
      </c>
      <c r="G27" s="626">
        <f>SUM(G22:G26)</f>
        <v>0</v>
      </c>
      <c r="H27" s="627">
        <f>SUM(H22:H26)</f>
        <v>0</v>
      </c>
    </row>
    <row r="28" spans="1:8" ht="15.75">
      <c r="A28" s="194" t="s">
        <v>79</v>
      </c>
      <c r="B28" s="237" t="s">
        <v>327</v>
      </c>
      <c r="C28" s="314"/>
      <c r="D28" s="314">
        <f>1</f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69</v>
      </c>
      <c r="D29" s="627">
        <f>SUM(D25:D28)</f>
        <v>149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2928</v>
      </c>
      <c r="D31" s="633">
        <f>D29+D22</f>
        <v>2407</v>
      </c>
      <c r="E31" s="251" t="s">
        <v>824</v>
      </c>
      <c r="F31" s="266" t="s">
        <v>331</v>
      </c>
      <c r="G31" s="253">
        <f>G16+G18+G27</f>
        <v>3045</v>
      </c>
      <c r="H31" s="254">
        <f>H16+H18+H27</f>
        <v>2395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117</v>
      </c>
      <c r="D33" s="244">
        <f>IF((H31-D31)&gt;0,H31-D31,0)</f>
        <v>0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12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2928</v>
      </c>
      <c r="D36" s="635">
        <f>D31-D34+D35</f>
        <v>2407</v>
      </c>
      <c r="E36" s="262" t="s">
        <v>346</v>
      </c>
      <c r="F36" s="256" t="s">
        <v>347</v>
      </c>
      <c r="G36" s="267">
        <f>G35-G34+G31</f>
        <v>3045</v>
      </c>
      <c r="H36" s="268">
        <f>H35-H34+H31</f>
        <v>2395</v>
      </c>
    </row>
    <row r="37" spans="1:8" ht="15.75">
      <c r="A37" s="261" t="s">
        <v>348</v>
      </c>
      <c r="B37" s="231" t="s">
        <v>349</v>
      </c>
      <c r="C37" s="632">
        <f>IF((G36-C36)&gt;0,G36-C36,0)</f>
        <v>117</v>
      </c>
      <c r="D37" s="633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12</v>
      </c>
    </row>
    <row r="38" spans="1:8" ht="15.75">
      <c r="A38" s="234" t="s">
        <v>352</v>
      </c>
      <c r="B38" s="238" t="s">
        <v>353</v>
      </c>
      <c r="C38" s="626">
        <f>C39+C40+C41</f>
        <v>18</v>
      </c>
      <c r="D38" s="627">
        <f>D39+D40+D41</f>
        <v>55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f>18</f>
        <v>18</v>
      </c>
      <c r="D40" s="314">
        <f>55</f>
        <v>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67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67</v>
      </c>
    </row>
    <row r="45" spans="1:8" ht="16.5" thickBot="1">
      <c r="A45" s="270" t="s">
        <v>371</v>
      </c>
      <c r="B45" s="271" t="s">
        <v>372</v>
      </c>
      <c r="C45" s="628">
        <f>C36+C38+C42</f>
        <v>3045</v>
      </c>
      <c r="D45" s="629">
        <f>D36+D38+D42</f>
        <v>2462</v>
      </c>
      <c r="E45" s="270" t="s">
        <v>373</v>
      </c>
      <c r="F45" s="272" t="s">
        <v>374</v>
      </c>
      <c r="G45" s="628">
        <f>G42+G36</f>
        <v>3045</v>
      </c>
      <c r="H45" s="629">
        <f>H42+H36</f>
        <v>2462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2" t="s">
        <v>978</v>
      </c>
      <c r="B47" s="702"/>
      <c r="C47" s="702"/>
      <c r="D47" s="702"/>
      <c r="E47" s="70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977</v>
      </c>
      <c r="B50" s="699">
        <f>pdeReportingDate</f>
        <v>43860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Николай Колев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998</v>
      </c>
      <c r="C55" s="698"/>
      <c r="D55" s="698"/>
      <c r="E55" s="698"/>
      <c r="F55" s="572"/>
      <c r="G55" s="45"/>
      <c r="H55" s="42"/>
    </row>
    <row r="56" spans="1:8" ht="15.75" customHeight="1">
      <c r="A56" s="693"/>
      <c r="B56" s="698"/>
      <c r="C56" s="698"/>
      <c r="D56" s="698"/>
      <c r="E56" s="698"/>
      <c r="F56" s="572"/>
      <c r="G56" s="45"/>
      <c r="H56" s="42"/>
    </row>
    <row r="57" spans="1:8" ht="15.75" customHeight="1">
      <c r="A57" s="693"/>
      <c r="B57" s="698"/>
      <c r="C57" s="698"/>
      <c r="D57" s="698"/>
      <c r="E57" s="698"/>
      <c r="F57" s="572"/>
      <c r="G57" s="45"/>
      <c r="H57" s="42"/>
    </row>
    <row r="58" spans="1:8" ht="15.75" customHeight="1">
      <c r="A58" s="693"/>
      <c r="B58" s="698"/>
      <c r="C58" s="698"/>
      <c r="D58" s="698"/>
      <c r="E58" s="698"/>
      <c r="F58" s="572"/>
      <c r="G58" s="45"/>
      <c r="H58" s="42"/>
    </row>
    <row r="59" spans="1:8" ht="15.75">
      <c r="A59" s="693"/>
      <c r="B59" s="698"/>
      <c r="C59" s="698"/>
      <c r="D59" s="698"/>
      <c r="E59" s="698"/>
      <c r="F59" s="572"/>
      <c r="G59" s="45"/>
      <c r="H59" s="42"/>
    </row>
    <row r="60" spans="1:8" ht="15.75">
      <c r="A60" s="693"/>
      <c r="B60" s="698"/>
      <c r="C60" s="698"/>
      <c r="D60" s="698"/>
      <c r="E60" s="698"/>
      <c r="F60" s="572"/>
      <c r="G60" s="45"/>
      <c r="H60" s="42"/>
    </row>
    <row r="61" spans="1:8" ht="15.75">
      <c r="A61" s="693"/>
      <c r="B61" s="698"/>
      <c r="C61" s="698"/>
      <c r="D61" s="698"/>
      <c r="E61" s="69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799</f>
        <v>799</v>
      </c>
      <c r="D11" s="197">
        <f>1285</f>
        <v>1285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-456</f>
        <v>-456</v>
      </c>
      <c r="D12" s="197">
        <f>-724</f>
        <v>-724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-360</f>
        <v>-360</v>
      </c>
      <c r="D14" s="197">
        <f>-428</f>
        <v>-428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-46</f>
        <v>-46</v>
      </c>
      <c r="D15" s="197">
        <f>-59</f>
        <v>-59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>
        <f>-1</f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-2</f>
        <v>-2</v>
      </c>
      <c r="D20" s="197">
        <f>-8</f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-65</v>
      </c>
      <c r="D21" s="656">
        <f>SUM(D11:D20)</f>
        <v>65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0</v>
      </c>
      <c r="D33" s="656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0</v>
      </c>
      <c r="D43" s="658">
        <f>SUM(D35:D42)</f>
        <v>0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-65</v>
      </c>
      <c r="D44" s="306">
        <f>D43+D33+D21</f>
        <v>65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f>70</f>
        <v>70</v>
      </c>
      <c r="D45" s="307">
        <f>5</f>
        <v>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5</v>
      </c>
      <c r="D46" s="309">
        <f>D45+D44</f>
        <v>70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f>5</f>
        <v>5</v>
      </c>
      <c r="D47" s="297">
        <f>70</f>
        <v>70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699">
        <f>pdeReportingDate</f>
        <v>43860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Николай Колев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3"/>
      <c r="B59" s="698" t="s">
        <v>998</v>
      </c>
      <c r="C59" s="698"/>
      <c r="D59" s="698"/>
      <c r="E59" s="698"/>
      <c r="F59" s="572"/>
      <c r="G59" s="45"/>
      <c r="H59" s="42"/>
    </row>
    <row r="60" spans="1:8" ht="15.75">
      <c r="A60" s="693"/>
      <c r="B60" s="698"/>
      <c r="C60" s="698"/>
      <c r="D60" s="698"/>
      <c r="E60" s="698"/>
      <c r="F60" s="572"/>
      <c r="G60" s="45"/>
      <c r="H60" s="42"/>
    </row>
    <row r="61" spans="1:8" ht="15.75">
      <c r="A61" s="693"/>
      <c r="B61" s="698"/>
      <c r="C61" s="698"/>
      <c r="D61" s="698"/>
      <c r="E61" s="698"/>
      <c r="F61" s="572"/>
      <c r="G61" s="45"/>
      <c r="H61" s="42"/>
    </row>
    <row r="62" spans="1:8" ht="15.75">
      <c r="A62" s="693"/>
      <c r="B62" s="698"/>
      <c r="C62" s="698"/>
      <c r="D62" s="698"/>
      <c r="E62" s="698"/>
      <c r="F62" s="572"/>
      <c r="G62" s="45"/>
      <c r="H62" s="42"/>
    </row>
    <row r="63" spans="1:8" ht="15.75">
      <c r="A63" s="693"/>
      <c r="B63" s="698"/>
      <c r="C63" s="698"/>
      <c r="D63" s="698"/>
      <c r="E63" s="698"/>
      <c r="F63" s="572"/>
      <c r="G63" s="45"/>
      <c r="H63" s="42"/>
    </row>
    <row r="64" spans="1:8" ht="15.75">
      <c r="A64" s="693"/>
      <c r="B64" s="698"/>
      <c r="C64" s="698"/>
      <c r="D64" s="698"/>
      <c r="E64" s="698"/>
      <c r="F64" s="572"/>
      <c r="G64" s="45"/>
      <c r="H64" s="42"/>
    </row>
    <row r="65" spans="1:8" ht="15.75">
      <c r="A65" s="693"/>
      <c r="B65" s="698"/>
      <c r="C65" s="698"/>
      <c r="D65" s="698"/>
      <c r="E65" s="69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8" t="s">
        <v>453</v>
      </c>
      <c r="B8" s="711" t="s">
        <v>454</v>
      </c>
      <c r="C8" s="70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4" t="s">
        <v>460</v>
      </c>
      <c r="L8" s="704" t="s">
        <v>461</v>
      </c>
      <c r="M8" s="529"/>
      <c r="N8" s="530"/>
    </row>
    <row r="9" spans="1:14" s="531" customFormat="1" ht="31.5">
      <c r="A9" s="709"/>
      <c r="B9" s="712"/>
      <c r="C9" s="705"/>
      <c r="D9" s="707" t="s">
        <v>826</v>
      </c>
      <c r="E9" s="707" t="s">
        <v>456</v>
      </c>
      <c r="F9" s="533" t="s">
        <v>457</v>
      </c>
      <c r="G9" s="533"/>
      <c r="H9" s="533"/>
      <c r="I9" s="714" t="s">
        <v>458</v>
      </c>
      <c r="J9" s="714" t="s">
        <v>459</v>
      </c>
      <c r="K9" s="705"/>
      <c r="L9" s="705"/>
      <c r="M9" s="534" t="s">
        <v>825</v>
      </c>
      <c r="N9" s="530"/>
    </row>
    <row r="10" spans="1:14" s="531" customFormat="1" ht="31.5">
      <c r="A10" s="710"/>
      <c r="B10" s="713"/>
      <c r="C10" s="706"/>
      <c r="D10" s="707"/>
      <c r="E10" s="707"/>
      <c r="F10" s="532" t="s">
        <v>462</v>
      </c>
      <c r="G10" s="532" t="s">
        <v>463</v>
      </c>
      <c r="H10" s="532" t="s">
        <v>464</v>
      </c>
      <c r="I10" s="706"/>
      <c r="J10" s="706"/>
      <c r="K10" s="706"/>
      <c r="L10" s="70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3400</v>
      </c>
      <c r="D13" s="582">
        <f>'1-Баланс'!H20</f>
        <v>0</v>
      </c>
      <c r="E13" s="582">
        <f>'1-Баланс'!H21</f>
        <v>210</v>
      </c>
      <c r="F13" s="582">
        <f>'1-Баланс'!H23</f>
        <v>0</v>
      </c>
      <c r="G13" s="582">
        <f>'1-Баланс'!H24</f>
        <v>498</v>
      </c>
      <c r="H13" s="583"/>
      <c r="I13" s="582">
        <f>'1-Баланс'!H29+'1-Баланс'!H32</f>
        <v>650</v>
      </c>
      <c r="J13" s="582">
        <f>'1-Баланс'!H30+'1-Баланс'!H33</f>
        <v>-4522</v>
      </c>
      <c r="K13" s="583"/>
      <c r="L13" s="582">
        <f>SUM(C13:K13)</f>
        <v>236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3400</v>
      </c>
      <c r="D17" s="650">
        <f aca="true" t="shared" si="2" ref="D17:M17">D13+D14</f>
        <v>0</v>
      </c>
      <c r="E17" s="650">
        <f t="shared" si="2"/>
        <v>210</v>
      </c>
      <c r="F17" s="650">
        <f t="shared" si="2"/>
        <v>0</v>
      </c>
      <c r="G17" s="650">
        <f t="shared" si="2"/>
        <v>498</v>
      </c>
      <c r="H17" s="650">
        <f t="shared" si="2"/>
        <v>0</v>
      </c>
      <c r="I17" s="650">
        <f t="shared" si="2"/>
        <v>650</v>
      </c>
      <c r="J17" s="650">
        <f t="shared" si="2"/>
        <v>-4522</v>
      </c>
      <c r="K17" s="650">
        <f t="shared" si="2"/>
        <v>0</v>
      </c>
      <c r="L17" s="582">
        <f t="shared" si="1"/>
        <v>236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99</v>
      </c>
      <c r="J18" s="582">
        <f>+'1-Баланс'!G33</f>
        <v>0</v>
      </c>
      <c r="K18" s="583"/>
      <c r="L18" s="582">
        <f t="shared" si="1"/>
        <v>99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>
        <f>-208</f>
        <v>-208</v>
      </c>
      <c r="F30" s="314"/>
      <c r="G30" s="314"/>
      <c r="H30" s="314"/>
      <c r="I30" s="314">
        <f>208</f>
        <v>208</v>
      </c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3400</v>
      </c>
      <c r="D31" s="650">
        <f aca="true" t="shared" si="6" ref="D31:M31">D19+D22+D23+D26+D30+D29+D17+D18</f>
        <v>0</v>
      </c>
      <c r="E31" s="650">
        <f t="shared" si="6"/>
        <v>2</v>
      </c>
      <c r="F31" s="650">
        <f t="shared" si="6"/>
        <v>0</v>
      </c>
      <c r="G31" s="650">
        <f t="shared" si="6"/>
        <v>498</v>
      </c>
      <c r="H31" s="650">
        <f t="shared" si="6"/>
        <v>0</v>
      </c>
      <c r="I31" s="650">
        <f t="shared" si="6"/>
        <v>957</v>
      </c>
      <c r="J31" s="650">
        <f t="shared" si="6"/>
        <v>-4522</v>
      </c>
      <c r="K31" s="650">
        <f t="shared" si="6"/>
        <v>0</v>
      </c>
      <c r="L31" s="582">
        <f t="shared" si="1"/>
        <v>335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3400</v>
      </c>
      <c r="D34" s="585">
        <f t="shared" si="7"/>
        <v>0</v>
      </c>
      <c r="E34" s="585">
        <f t="shared" si="7"/>
        <v>2</v>
      </c>
      <c r="F34" s="585">
        <f t="shared" si="7"/>
        <v>0</v>
      </c>
      <c r="G34" s="585">
        <f t="shared" si="7"/>
        <v>498</v>
      </c>
      <c r="H34" s="585">
        <f t="shared" si="7"/>
        <v>0</v>
      </c>
      <c r="I34" s="585">
        <f t="shared" si="7"/>
        <v>957</v>
      </c>
      <c r="J34" s="585">
        <f t="shared" si="7"/>
        <v>-4522</v>
      </c>
      <c r="K34" s="585">
        <f t="shared" si="7"/>
        <v>0</v>
      </c>
      <c r="L34" s="648">
        <f t="shared" si="1"/>
        <v>335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977</v>
      </c>
      <c r="B38" s="699">
        <f>pdeReportingDate</f>
        <v>43860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Николай Колев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3"/>
      <c r="B43" s="698" t="s">
        <v>998</v>
      </c>
      <c r="C43" s="698"/>
      <c r="D43" s="698"/>
      <c r="E43" s="698"/>
      <c r="F43" s="572"/>
      <c r="G43" s="45"/>
      <c r="H43" s="42"/>
      <c r="M43" s="169"/>
    </row>
    <row r="44" spans="1:13" ht="15.75">
      <c r="A44" s="693"/>
      <c r="B44" s="698"/>
      <c r="C44" s="698"/>
      <c r="D44" s="698"/>
      <c r="E44" s="698"/>
      <c r="F44" s="572"/>
      <c r="G44" s="45"/>
      <c r="H44" s="42"/>
      <c r="M44" s="169"/>
    </row>
    <row r="45" spans="1:13" ht="15.75">
      <c r="A45" s="693"/>
      <c r="B45" s="698"/>
      <c r="C45" s="698"/>
      <c r="D45" s="698"/>
      <c r="E45" s="698"/>
      <c r="F45" s="572"/>
      <c r="G45" s="45"/>
      <c r="H45" s="42"/>
      <c r="M45" s="169"/>
    </row>
    <row r="46" spans="1:13" ht="15.75">
      <c r="A46" s="693"/>
      <c r="B46" s="698"/>
      <c r="C46" s="698"/>
      <c r="D46" s="698"/>
      <c r="E46" s="698"/>
      <c r="F46" s="572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2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2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1000</v>
      </c>
      <c r="B12" s="677" t="s">
        <v>999</v>
      </c>
      <c r="C12" s="92">
        <v>1127</v>
      </c>
      <c r="D12" s="92">
        <v>100</v>
      </c>
      <c r="E12" s="92"/>
      <c r="F12" s="467">
        <f>C12-E12</f>
        <v>1127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1127</v>
      </c>
      <c r="D27" s="470"/>
      <c r="E27" s="470">
        <f>SUM(E12:E26)</f>
        <v>0</v>
      </c>
      <c r="F27" s="470">
        <f>SUM(F12:F26)</f>
        <v>1127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 t="s">
        <v>1001</v>
      </c>
      <c r="B29" s="677"/>
      <c r="C29" s="92"/>
      <c r="D29" s="92">
        <v>34</v>
      </c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1127</v>
      </c>
      <c r="D79" s="470"/>
      <c r="E79" s="470">
        <f>E78+E61+E44+E27</f>
        <v>0</v>
      </c>
      <c r="F79" s="470">
        <f>F78+F61+F44+F27</f>
        <v>1127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977</v>
      </c>
      <c r="B151" s="699">
        <f>pdeReportingDate</f>
        <v>43860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Николай Колев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3"/>
      <c r="B156" s="698" t="s">
        <v>998</v>
      </c>
      <c r="C156" s="698"/>
      <c r="D156" s="698"/>
      <c r="E156" s="698"/>
      <c r="F156" s="572"/>
      <c r="G156" s="45"/>
      <c r="H156" s="42"/>
    </row>
    <row r="157" spans="1:8" ht="15.75">
      <c r="A157" s="693"/>
      <c r="B157" s="698"/>
      <c r="C157" s="698"/>
      <c r="D157" s="698"/>
      <c r="E157" s="698"/>
      <c r="F157" s="572"/>
      <c r="G157" s="45"/>
      <c r="H157" s="42"/>
    </row>
    <row r="158" spans="1:8" ht="15.75">
      <c r="A158" s="693"/>
      <c r="B158" s="698"/>
      <c r="C158" s="698"/>
      <c r="D158" s="698"/>
      <c r="E158" s="698"/>
      <c r="F158" s="572"/>
      <c r="G158" s="45"/>
      <c r="H158" s="42"/>
    </row>
    <row r="159" spans="1:8" ht="15.75">
      <c r="A159" s="693"/>
      <c r="B159" s="698"/>
      <c r="C159" s="698"/>
      <c r="D159" s="698"/>
      <c r="E159" s="698"/>
      <c r="F159" s="572"/>
      <c r="G159" s="45"/>
      <c r="H159" s="42"/>
    </row>
    <row r="160" spans="1:8" ht="15.75">
      <c r="A160" s="693"/>
      <c r="B160" s="698"/>
      <c r="C160" s="698"/>
      <c r="D160" s="698"/>
      <c r="E160" s="698"/>
      <c r="F160" s="572"/>
      <c r="G160" s="45"/>
      <c r="H160" s="42"/>
    </row>
    <row r="161" spans="1:8" ht="15.75">
      <c r="A161" s="693"/>
      <c r="B161" s="698"/>
      <c r="C161" s="698"/>
      <c r="D161" s="698"/>
      <c r="E161" s="698"/>
      <c r="F161" s="572"/>
      <c r="G161" s="45"/>
      <c r="H161" s="42"/>
    </row>
    <row r="162" spans="1:8" ht="15.75">
      <c r="A162" s="693"/>
      <c r="B162" s="698"/>
      <c r="C162" s="698"/>
      <c r="D162" s="698"/>
      <c r="E162" s="698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>
        <v>171</v>
      </c>
      <c r="E11" s="326"/>
      <c r="F11" s="326">
        <v>121</v>
      </c>
      <c r="G11" s="327">
        <f>D11+E11-F11</f>
        <v>50</v>
      </c>
      <c r="H11" s="326"/>
      <c r="I11" s="326"/>
      <c r="J11" s="327">
        <f>G11+H11-I11</f>
        <v>50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50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856</v>
      </c>
      <c r="E12" s="326"/>
      <c r="F12" s="326">
        <v>856</v>
      </c>
      <c r="G12" s="327">
        <f aca="true" t="shared" si="2" ref="G12:G41">D12+E12-F12</f>
        <v>0</v>
      </c>
      <c r="H12" s="326"/>
      <c r="I12" s="326"/>
      <c r="J12" s="327">
        <f aca="true" t="shared" si="3" ref="J12:J41">G12+H12-I12</f>
        <v>0</v>
      </c>
      <c r="K12" s="326">
        <v>139</v>
      </c>
      <c r="L12" s="326">
        <v>5</v>
      </c>
      <c r="M12" s="326">
        <v>144</v>
      </c>
      <c r="N12" s="327">
        <f aca="true" t="shared" si="4" ref="N12:N41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11</v>
      </c>
      <c r="E13" s="326"/>
      <c r="F13" s="326">
        <v>2</v>
      </c>
      <c r="G13" s="327">
        <f t="shared" si="2"/>
        <v>9</v>
      </c>
      <c r="H13" s="326"/>
      <c r="I13" s="326"/>
      <c r="J13" s="327">
        <f t="shared" si="3"/>
        <v>9</v>
      </c>
      <c r="K13" s="326">
        <v>10</v>
      </c>
      <c r="L13" s="326">
        <v>1</v>
      </c>
      <c r="M13" s="326">
        <v>2</v>
      </c>
      <c r="N13" s="327">
        <f t="shared" si="4"/>
        <v>9</v>
      </c>
      <c r="O13" s="326"/>
      <c r="P13" s="326"/>
      <c r="Q13" s="327">
        <f t="shared" si="0"/>
        <v>9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31</v>
      </c>
      <c r="E15" s="326"/>
      <c r="F15" s="326"/>
      <c r="G15" s="327">
        <f t="shared" si="2"/>
        <v>31</v>
      </c>
      <c r="H15" s="326"/>
      <c r="I15" s="326"/>
      <c r="J15" s="327">
        <f t="shared" si="3"/>
        <v>31</v>
      </c>
      <c r="K15" s="326">
        <v>31</v>
      </c>
      <c r="L15" s="326"/>
      <c r="M15" s="326"/>
      <c r="N15" s="327">
        <f t="shared" si="4"/>
        <v>31</v>
      </c>
      <c r="O15" s="326"/>
      <c r="P15" s="326"/>
      <c r="Q15" s="327">
        <f t="shared" si="0"/>
        <v>31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48</v>
      </c>
      <c r="E16" s="326"/>
      <c r="F16" s="326">
        <v>7</v>
      </c>
      <c r="G16" s="327">
        <f t="shared" si="2"/>
        <v>41</v>
      </c>
      <c r="H16" s="326"/>
      <c r="I16" s="326"/>
      <c r="J16" s="327">
        <f t="shared" si="3"/>
        <v>41</v>
      </c>
      <c r="K16" s="326">
        <v>37</v>
      </c>
      <c r="L16" s="326">
        <v>4</v>
      </c>
      <c r="M16" s="326">
        <v>7</v>
      </c>
      <c r="N16" s="327">
        <f t="shared" si="4"/>
        <v>34</v>
      </c>
      <c r="O16" s="326"/>
      <c r="P16" s="326"/>
      <c r="Q16" s="327">
        <f t="shared" si="0"/>
        <v>34</v>
      </c>
      <c r="R16" s="338">
        <f t="shared" si="1"/>
        <v>7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36</v>
      </c>
      <c r="E18" s="326"/>
      <c r="F18" s="326"/>
      <c r="G18" s="327">
        <f t="shared" si="2"/>
        <v>36</v>
      </c>
      <c r="H18" s="326"/>
      <c r="I18" s="326"/>
      <c r="J18" s="327">
        <f t="shared" si="3"/>
        <v>36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36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1153</v>
      </c>
      <c r="E19" s="328">
        <f>SUM(E11:E18)</f>
        <v>0</v>
      </c>
      <c r="F19" s="328">
        <f>SUM(F11:F18)</f>
        <v>986</v>
      </c>
      <c r="G19" s="327">
        <f t="shared" si="2"/>
        <v>167</v>
      </c>
      <c r="H19" s="328">
        <f>SUM(H11:H18)</f>
        <v>0</v>
      </c>
      <c r="I19" s="328">
        <f>SUM(I11:I18)</f>
        <v>0</v>
      </c>
      <c r="J19" s="327">
        <f t="shared" si="3"/>
        <v>167</v>
      </c>
      <c r="K19" s="328">
        <f>SUM(K11:K18)</f>
        <v>217</v>
      </c>
      <c r="L19" s="328">
        <f>SUM(L11:L18)</f>
        <v>10</v>
      </c>
      <c r="M19" s="328">
        <f>SUM(M11:M18)</f>
        <v>153</v>
      </c>
      <c r="N19" s="327">
        <f t="shared" si="4"/>
        <v>74</v>
      </c>
      <c r="O19" s="328">
        <f>SUM(O11:O18)</f>
        <v>0</v>
      </c>
      <c r="P19" s="328">
        <f>SUM(P11:P18)</f>
        <v>0</v>
      </c>
      <c r="Q19" s="327">
        <f t="shared" si="0"/>
        <v>74</v>
      </c>
      <c r="R19" s="338">
        <f t="shared" si="1"/>
        <v>93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185</v>
      </c>
      <c r="E20" s="326"/>
      <c r="F20" s="326">
        <v>185</v>
      </c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1" t="s">
        <v>548</v>
      </c>
      <c r="C21" s="156" t="s">
        <v>549</v>
      </c>
      <c r="D21" s="326">
        <v>173</v>
      </c>
      <c r="E21" s="326"/>
      <c r="F21" s="326">
        <v>173</v>
      </c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>
        <v>44</v>
      </c>
      <c r="E23" s="326"/>
      <c r="F23" s="326">
        <v>21</v>
      </c>
      <c r="G23" s="327">
        <f t="shared" si="2"/>
        <v>23</v>
      </c>
      <c r="H23" s="326"/>
      <c r="I23" s="326"/>
      <c r="J23" s="327">
        <f t="shared" si="3"/>
        <v>23</v>
      </c>
      <c r="K23" s="326">
        <v>43</v>
      </c>
      <c r="L23" s="326">
        <v>1</v>
      </c>
      <c r="M23" s="326">
        <v>21</v>
      </c>
      <c r="N23" s="327">
        <f t="shared" si="4"/>
        <v>23</v>
      </c>
      <c r="O23" s="326"/>
      <c r="P23" s="326"/>
      <c r="Q23" s="327">
        <f t="shared" si="0"/>
        <v>23</v>
      </c>
      <c r="R23" s="338">
        <f t="shared" si="1"/>
        <v>0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15</v>
      </c>
      <c r="E24" s="326"/>
      <c r="F24" s="326"/>
      <c r="G24" s="327">
        <f t="shared" si="2"/>
        <v>15</v>
      </c>
      <c r="H24" s="326"/>
      <c r="I24" s="326"/>
      <c r="J24" s="327">
        <f t="shared" si="3"/>
        <v>15</v>
      </c>
      <c r="K24" s="326">
        <v>14</v>
      </c>
      <c r="L24" s="326">
        <v>1</v>
      </c>
      <c r="M24" s="326"/>
      <c r="N24" s="327">
        <f t="shared" si="4"/>
        <v>15</v>
      </c>
      <c r="O24" s="326"/>
      <c r="P24" s="326"/>
      <c r="Q24" s="327">
        <f t="shared" si="0"/>
        <v>15</v>
      </c>
      <c r="R24" s="338">
        <f t="shared" si="1"/>
        <v>0</v>
      </c>
    </row>
    <row r="25" spans="1:18" ht="15.75">
      <c r="A25" s="340" t="s">
        <v>527</v>
      </c>
      <c r="B25" s="155" t="s">
        <v>556</v>
      </c>
      <c r="C25" s="152" t="s">
        <v>557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27</v>
      </c>
      <c r="E26" s="326"/>
      <c r="F26" s="326">
        <v>10</v>
      </c>
      <c r="G26" s="327">
        <f t="shared" si="2"/>
        <v>17</v>
      </c>
      <c r="H26" s="326"/>
      <c r="I26" s="326"/>
      <c r="J26" s="327">
        <f t="shared" si="3"/>
        <v>17</v>
      </c>
      <c r="K26" s="326">
        <v>23</v>
      </c>
      <c r="L26" s="326">
        <v>2</v>
      </c>
      <c r="M26" s="326">
        <v>10</v>
      </c>
      <c r="N26" s="327">
        <f t="shared" si="4"/>
        <v>15</v>
      </c>
      <c r="O26" s="326"/>
      <c r="P26" s="326"/>
      <c r="Q26" s="327">
        <f t="shared" si="0"/>
        <v>15</v>
      </c>
      <c r="R26" s="338">
        <f t="shared" si="1"/>
        <v>2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86</v>
      </c>
      <c r="E27" s="330">
        <f aca="true" t="shared" si="5" ref="E27:P27">SUM(E23:E26)</f>
        <v>0</v>
      </c>
      <c r="F27" s="330">
        <f t="shared" si="5"/>
        <v>31</v>
      </c>
      <c r="G27" s="331">
        <f t="shared" si="2"/>
        <v>55</v>
      </c>
      <c r="H27" s="330">
        <f t="shared" si="5"/>
        <v>0</v>
      </c>
      <c r="I27" s="330">
        <f t="shared" si="5"/>
        <v>0</v>
      </c>
      <c r="J27" s="331">
        <f t="shared" si="3"/>
        <v>55</v>
      </c>
      <c r="K27" s="330">
        <f t="shared" si="5"/>
        <v>80</v>
      </c>
      <c r="L27" s="330">
        <f t="shared" si="5"/>
        <v>4</v>
      </c>
      <c r="M27" s="330">
        <f t="shared" si="5"/>
        <v>31</v>
      </c>
      <c r="N27" s="331">
        <f t="shared" si="4"/>
        <v>53</v>
      </c>
      <c r="O27" s="330">
        <f t="shared" si="5"/>
        <v>0</v>
      </c>
      <c r="P27" s="330">
        <f t="shared" si="5"/>
        <v>0</v>
      </c>
      <c r="Q27" s="331">
        <f t="shared" si="0"/>
        <v>53</v>
      </c>
      <c r="R27" s="341">
        <f t="shared" si="1"/>
        <v>2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1127</v>
      </c>
      <c r="E29" s="333">
        <f aca="true" t="shared" si="6" ref="E29:P29">SUM(E30:E33)</f>
        <v>0</v>
      </c>
      <c r="F29" s="333">
        <f t="shared" si="6"/>
        <v>0</v>
      </c>
      <c r="G29" s="334">
        <f t="shared" si="2"/>
        <v>1127</v>
      </c>
      <c r="H29" s="333">
        <f t="shared" si="6"/>
        <v>0</v>
      </c>
      <c r="I29" s="333">
        <f t="shared" si="6"/>
        <v>0</v>
      </c>
      <c r="J29" s="334">
        <f t="shared" si="3"/>
        <v>1127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1127</v>
      </c>
    </row>
    <row r="30" spans="1:18" ht="15.75">
      <c r="A30" s="337"/>
      <c r="B30" s="319" t="s">
        <v>108</v>
      </c>
      <c r="C30" s="152" t="s">
        <v>563</v>
      </c>
      <c r="D30" s="326">
        <v>1127</v>
      </c>
      <c r="E30" s="326"/>
      <c r="F30" s="326"/>
      <c r="G30" s="327">
        <f t="shared" si="2"/>
        <v>1127</v>
      </c>
      <c r="H30" s="326"/>
      <c r="I30" s="326"/>
      <c r="J30" s="327">
        <f t="shared" si="3"/>
        <v>1127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1127</v>
      </c>
    </row>
    <row r="31" spans="1:18" ht="15.75">
      <c r="A31" s="337"/>
      <c r="B31" s="319" t="s">
        <v>110</v>
      </c>
      <c r="C31" s="152" t="s">
        <v>564</v>
      </c>
      <c r="D31" s="326"/>
      <c r="E31" s="326"/>
      <c r="F31" s="326"/>
      <c r="G31" s="327">
        <f t="shared" si="2"/>
        <v>0</v>
      </c>
      <c r="H31" s="326"/>
      <c r="I31" s="326"/>
      <c r="J31" s="327">
        <f t="shared" si="3"/>
        <v>0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0</v>
      </c>
    </row>
    <row r="32" spans="1:18" ht="15.75">
      <c r="A32" s="337"/>
      <c r="B32" s="319" t="s">
        <v>113</v>
      </c>
      <c r="C32" s="152" t="s">
        <v>565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1127</v>
      </c>
      <c r="E40" s="328">
        <f aca="true" t="shared" si="10" ref="E40:P40">E29+E34+E39</f>
        <v>0</v>
      </c>
      <c r="F40" s="328">
        <f t="shared" si="10"/>
        <v>0</v>
      </c>
      <c r="G40" s="327">
        <f t="shared" si="2"/>
        <v>1127</v>
      </c>
      <c r="H40" s="328">
        <f t="shared" si="10"/>
        <v>0</v>
      </c>
      <c r="I40" s="328">
        <f t="shared" si="10"/>
        <v>0</v>
      </c>
      <c r="J40" s="327">
        <f t="shared" si="3"/>
        <v>1127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1127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2724</v>
      </c>
      <c r="E42" s="347">
        <f>E19+E20+E21+E27+E40+E41</f>
        <v>0</v>
      </c>
      <c r="F42" s="347">
        <f aca="true" t="shared" si="11" ref="F42:R42">F19+F20+F21+F27+F40+F41</f>
        <v>1375</v>
      </c>
      <c r="G42" s="347">
        <f t="shared" si="11"/>
        <v>1349</v>
      </c>
      <c r="H42" s="347">
        <f t="shared" si="11"/>
        <v>0</v>
      </c>
      <c r="I42" s="347">
        <f t="shared" si="11"/>
        <v>0</v>
      </c>
      <c r="J42" s="347">
        <f t="shared" si="11"/>
        <v>1349</v>
      </c>
      <c r="K42" s="347">
        <f t="shared" si="11"/>
        <v>297</v>
      </c>
      <c r="L42" s="347">
        <f t="shared" si="11"/>
        <v>14</v>
      </c>
      <c r="M42" s="347">
        <f t="shared" si="11"/>
        <v>184</v>
      </c>
      <c r="N42" s="347">
        <f t="shared" si="11"/>
        <v>127</v>
      </c>
      <c r="O42" s="347">
        <f t="shared" si="11"/>
        <v>0</v>
      </c>
      <c r="P42" s="347">
        <f t="shared" si="11"/>
        <v>0</v>
      </c>
      <c r="Q42" s="347">
        <f t="shared" si="11"/>
        <v>127</v>
      </c>
      <c r="R42" s="348">
        <f t="shared" si="11"/>
        <v>1222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1" t="s">
        <v>977</v>
      </c>
      <c r="C45" s="699">
        <f>pdeReportingDate</f>
        <v>43860</v>
      </c>
      <c r="D45" s="699"/>
      <c r="E45" s="699"/>
      <c r="F45" s="699"/>
      <c r="G45" s="699"/>
      <c r="H45" s="699"/>
      <c r="I45" s="699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0" t="str">
        <f>authorName</f>
        <v>Николай Колев</v>
      </c>
      <c r="D47" s="700"/>
      <c r="E47" s="700"/>
      <c r="F47" s="700"/>
      <c r="G47" s="700"/>
      <c r="H47" s="700"/>
      <c r="I47" s="700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1" t="s">
        <v>998</v>
      </c>
      <c r="D49" s="701"/>
      <c r="E49" s="701"/>
      <c r="F49" s="701"/>
      <c r="G49" s="701"/>
      <c r="H49" s="701"/>
      <c r="I49" s="701"/>
    </row>
    <row r="50" spans="2:9" ht="15.75">
      <c r="B50" s="693"/>
      <c r="C50" s="698"/>
      <c r="D50" s="698"/>
      <c r="E50" s="698"/>
      <c r="F50" s="698"/>
      <c r="G50" s="572"/>
      <c r="H50" s="45"/>
      <c r="I50" s="42"/>
    </row>
    <row r="51" spans="2:9" ht="15.75">
      <c r="B51" s="693"/>
      <c r="C51" s="698"/>
      <c r="D51" s="698"/>
      <c r="E51" s="698"/>
      <c r="F51" s="698"/>
      <c r="G51" s="572"/>
      <c r="H51" s="45"/>
      <c r="I51" s="42"/>
    </row>
    <row r="52" spans="2:9" ht="15.75">
      <c r="B52" s="693"/>
      <c r="C52" s="698"/>
      <c r="D52" s="698"/>
      <c r="E52" s="698"/>
      <c r="F52" s="698"/>
      <c r="G52" s="572"/>
      <c r="H52" s="45"/>
      <c r="I52" s="42"/>
    </row>
    <row r="53" spans="2:9" ht="15.75">
      <c r="B53" s="693"/>
      <c r="C53" s="698"/>
      <c r="D53" s="698"/>
      <c r="E53" s="698"/>
      <c r="F53" s="698"/>
      <c r="G53" s="572"/>
      <c r="H53" s="45"/>
      <c r="I53" s="42"/>
    </row>
    <row r="54" spans="2:9" ht="15.75">
      <c r="B54" s="693"/>
      <c r="C54" s="698"/>
      <c r="D54" s="698"/>
      <c r="E54" s="698"/>
      <c r="F54" s="698"/>
      <c r="G54" s="572"/>
      <c r="H54" s="45"/>
      <c r="I54" s="42"/>
    </row>
    <row r="55" spans="2:9" ht="15.75">
      <c r="B55" s="693"/>
      <c r="C55" s="698"/>
      <c r="D55" s="698"/>
      <c r="E55" s="698"/>
      <c r="F55" s="698"/>
      <c r="G55" s="572"/>
      <c r="H55" s="45"/>
      <c r="I55" s="42"/>
    </row>
    <row r="56" spans="2:9" ht="15.75">
      <c r="B56" s="693"/>
      <c r="C56" s="698"/>
      <c r="D56" s="698"/>
      <c r="E56" s="698"/>
      <c r="F56" s="698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K25 G23:J23 N23:Q23 G24:J24 N24:Q24 G27:Q42 G26:J26 N26:Q26 M25:Q25" formula="1"/>
    <ignoredError sqref="F14 F17 L14:M1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.7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399</v>
      </c>
      <c r="D13" s="360">
        <f>SUM(D14:D16)</f>
        <v>0</v>
      </c>
      <c r="E13" s="367">
        <f>SUM(E14:E16)</f>
        <v>399</v>
      </c>
      <c r="F13" s="133"/>
    </row>
    <row r="14" spans="1:6" ht="15.75">
      <c r="A14" s="368" t="s">
        <v>596</v>
      </c>
      <c r="B14" s="135" t="s">
        <v>597</v>
      </c>
      <c r="C14" s="366">
        <f>399</f>
        <v>399</v>
      </c>
      <c r="D14" s="366"/>
      <c r="E14" s="367">
        <f aca="true" t="shared" si="0" ref="E14:E44">C14-D14</f>
        <v>399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399</v>
      </c>
      <c r="D21" s="438">
        <f>D13+D17+D18</f>
        <v>0</v>
      </c>
      <c r="E21" s="439">
        <f>E13+E17+E18</f>
        <v>399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f>108</f>
        <v>108</v>
      </c>
      <c r="D23" s="441"/>
      <c r="E23" s="440">
        <f t="shared" si="0"/>
        <v>108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233</v>
      </c>
      <c r="D26" s="360">
        <f>SUM(D27:D29)</f>
        <v>233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f>586-441+1</f>
        <v>146</v>
      </c>
      <c r="D28" s="366">
        <f>586-441+1</f>
        <v>146</v>
      </c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>
        <f>8+79</f>
        <v>87</v>
      </c>
      <c r="D29" s="366">
        <f>8+79</f>
        <v>87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197">
        <f>290-21-1+2+2+13</f>
        <v>285</v>
      </c>
      <c r="D30" s="197">
        <f>290-21-1+2+2+13</f>
        <v>285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2</f>
        <v>2</v>
      </c>
      <c r="D31" s="366">
        <f>2</f>
        <v>2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0</v>
      </c>
      <c r="D40" s="360">
        <f>SUM(D41:D44)</f>
        <v>0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/>
      <c r="D44" s="366"/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520</v>
      </c>
      <c r="D45" s="436">
        <f>D26+D30+D31+D33+D32+D34+D35+D40</f>
        <v>520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1027</v>
      </c>
      <c r="D46" s="442">
        <f>D45+D23+D21+D11</f>
        <v>520</v>
      </c>
      <c r="E46" s="443">
        <f>E45+E23+E21+E11</f>
        <v>507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11</v>
      </c>
      <c r="D68" s="433">
        <f>D54+D58+D63+D64+D65+D66</f>
        <v>0</v>
      </c>
      <c r="E68" s="434">
        <f t="shared" si="1"/>
        <v>11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384</v>
      </c>
      <c r="D73" s="137">
        <f>SUM(D74:D76)</f>
        <v>384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f>77</f>
        <v>77</v>
      </c>
      <c r="D74" s="197">
        <f>77</f>
        <v>77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f>307</f>
        <v>307</v>
      </c>
      <c r="D76" s="197">
        <f>307</f>
        <v>307</v>
      </c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1891</v>
      </c>
      <c r="D87" s="134">
        <f>SUM(D88:D92)+D96</f>
        <v>1891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>
        <f>10+3+81+15+33+52</f>
        <v>194</v>
      </c>
      <c r="D88" s="197">
        <f>10+3+81+15+33+52</f>
        <v>194</v>
      </c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f>1126+8+2+7</f>
        <v>1143</v>
      </c>
      <c r="D89" s="197">
        <f>1126+8+2+7</f>
        <v>1143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84</f>
        <v>84</v>
      </c>
      <c r="D90" s="197">
        <f>84</f>
        <v>84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26</f>
        <v>26</v>
      </c>
      <c r="D91" s="197">
        <f>26</f>
        <v>26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307</v>
      </c>
      <c r="D92" s="138">
        <f>SUM(D93:D95)</f>
        <v>307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f>133+32</f>
        <v>165</v>
      </c>
      <c r="D94" s="197">
        <f>133+32</f>
        <v>165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f>63+20+38+12+9</f>
        <v>142</v>
      </c>
      <c r="D95" s="197">
        <f>63+20+38+12+9</f>
        <v>142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65+18+26+8+15+5</f>
        <v>137</v>
      </c>
      <c r="D96" s="197">
        <f>65+18+26+8+15+5</f>
        <v>137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2275</v>
      </c>
      <c r="D98" s="431">
        <f>D87+D82+D77+D73+D97</f>
        <v>2275</v>
      </c>
      <c r="E98" s="431">
        <f>E87+E82+E77+E73+E97</f>
        <v>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2286</v>
      </c>
      <c r="D99" s="425">
        <f>D98+D70+D68</f>
        <v>2275</v>
      </c>
      <c r="E99" s="425">
        <f>E98+E70+E68</f>
        <v>11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699">
        <f>pdeReportingDate</f>
        <v>43860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Николай Колев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998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/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/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/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0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977</v>
      </c>
      <c r="B31" s="699">
        <f>pdeReportingDate</f>
        <v>43860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Николай Колев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92" t="s">
        <v>920</v>
      </c>
      <c r="B35" s="744" t="s">
        <v>998</v>
      </c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93"/>
      <c r="B36" s="698"/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/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/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/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2020-01-30T18:53:23Z</cp:lastPrinted>
  <dcterms:created xsi:type="dcterms:W3CDTF">2006-09-16T00:00:00Z</dcterms:created>
  <dcterms:modified xsi:type="dcterms:W3CDTF">2020-01-30T19:33:19Z</dcterms:modified>
  <cp:category/>
  <cp:version/>
  <cp:contentType/>
  <cp:contentStatus/>
</cp:coreProperties>
</file>