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<sst xmlns="http://schemas.openxmlformats.org/spreadsheetml/2006/main" count="1068" uniqueCount="894">
  <si>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</si>
  <si>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</si>
  <si>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</si>
  <si>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</si>
  <si>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</si>
  <si>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</si>
  <si>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</si>
  <si>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</si>
  <si>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</si>
  <si>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</si>
  <si>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</si>
  <si>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</si>
  <si>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</si>
  <si>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</si>
  <si>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</si>
  <si>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</si>
  <si>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</si>
  <si>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</si>
  <si>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</si>
  <si>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</si>
  <si>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</si>
  <si>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</si>
  <si>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</si>
  <si>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</si>
  <si>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</si>
  <si>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</si>
  <si>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</si>
  <si>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</si>
  <si>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</si>
  <si>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</si>
  <si>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</si>
  <si>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</si>
  <si>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</si>
  <si>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</si>
  <si>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</si>
  <si>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</si>
  <si>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</si>
  <si>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</si>
  <si>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</si>
  <si>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</si>
  <si>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</si>
  <si>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</si>
  <si>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</si>
  <si>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</si>
  <si>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</si>
  <si>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</si>
  <si>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</si>
  <si>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</si>
  <si>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</si>
  <si>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</si>
  <si>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</si>
  <si>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</si>
  <si>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</si>
  <si>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</si>
  <si>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</si>
  <si>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</si>
  <si>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</si>
  <si>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</si>
  <si>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</si>
  <si>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</si>
  <si>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</si>
  <si>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</si>
  <si>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</si>
  <si>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</si>
  <si>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</si>
  <si>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</si>
  <si>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</si>
  <si>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</si>
  <si>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</si>
  <si>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</si>
  <si>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</si>
  <si>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</si>
  <si>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</si>
  <si>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</si>
  <si>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</si>
  <si>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</si>
  <si>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</si>
  <si>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</si>
  <si>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</si>
  <si>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</si>
  <si>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</si>
  <si>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</si>
  <si>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</si>
  <si>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</si>
  <si>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</si>
  <si>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</si>
  <si>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</si>
  <si>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</si>
  <si>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</si>
  <si>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</si>
  <si>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</si>
  <si>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</si>
  <si>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</si>
  <si>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</si>
  <si>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</si>
  <si>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</si>
  <si>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</si>
  <si>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</si>
  <si>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</si>
  <si>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</si>
  <si>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</si>
  <si>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</si>
  <si>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</si>
  <si>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</si>
  <si>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</si>
  <si>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</si>
  <si>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</si>
  <si>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</si>
  <si>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</si>
  <si>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</si>
  <si>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</si>
  <si>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</si>
  <si>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</si>
  <si>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</si>
  <si>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</si>
  <si>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</si>
  <si>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</si>
  <si>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</si>
  <si>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</si>
  <si>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</si>
  <si>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</si>
  <si>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</si>
  <si>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</si>
  <si>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</si>
  <si>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</si>
  <si>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</si>
  <si>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</si>
  <si>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</si>
  <si>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</si>
  <si>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</si>
  <si>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</si>
  <si>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</si>
  <si>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</si>
  <si>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</si>
  <si>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</si>
  <si>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</si>
  <si>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</si>
  <si>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</si>
  <si>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</si>
  <si>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</si>
  <si>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</si>
  <si>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</si>
  <si>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</si>
  <si>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</si>
  <si>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</si>
  <si>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</si>
  <si>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</si>
  <si>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</si>
  <si>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</si>
  <si>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</si>
  <si>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</si>
  <si>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</si>
  <si>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</si>
  <si>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</si>
  <si>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</si>
  <si>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</si>
  <si>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</si>
  <si>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</si>
  <si>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</si>
  <si>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</si>
  <si>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</si>
  <si>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</si>
  <si>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</si>
  <si>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</si>
  <si>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</si>
  <si>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</si>
  <si>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</si>
  <si>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</si>
  <si>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</si>
  <si>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</si>
  <si>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</si>
  <si>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</si>
  <si>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</si>
  <si>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</si>
  <si>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</si>
  <si>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</si>
  <si>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</si>
  <si>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</si>
  <si>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</si>
  <si>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</si>
  <si>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</si>
  <si>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</si>
  <si>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</si>
  <si>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</si>
  <si>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</si>
  <si>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</si>
  <si>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</si>
  <si>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</si>
  <si>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</si>
  <si>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</si>
  <si>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</si>
  <si>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</si>
  <si>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</si>
  <si>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</si>
  <si>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</si>
  <si>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</si>
  <si>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</si>
  <si>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</si>
  <si>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</si>
  <si>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</si>
  <si>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</si>
  <si>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</si>
  <si>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</si>
  <si>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</si>
  <si>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</si>
  <si>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</si>
  <si>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</si>
  <si>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</si>
  <si>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</si>
  <si>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</si>
  <si>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</si>
  <si>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</si>
  <si>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</si>
  <si>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</si>
  <si>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</si>
  <si>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</si>
  <si>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</si>
  <si>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</si>
  <si>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</si>
  <si>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</si>
  <si>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</si>
  <si>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</si>
  <si>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</si>
  <si>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</si>
  <si>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</si>
  <si>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</si>
  <si>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</si>
  <si>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</si>
  <si>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</si>
  <si>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</si>
  <si>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</si>
  <si>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</si>
  <si>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</si>
  <si>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</si>
  <si>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</si>
  <si>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</si>
  <si>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</si>
  <si>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</si>
  <si>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</si>
  <si>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</si>
  <si>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</si>
  <si>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</si>
  <si>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</si>
  <si>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</si>
  <si>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</si>
  <si>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</si>
  <si>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</si>
  <si>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</si>
  <si>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</si>
  <si>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</si>
  <si>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</si>
  <si>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</si>
  <si>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</si>
  <si>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</si>
  <si>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</si>
  <si>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</si>
  <si>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</si>
  <si>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</si>
  <si>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</si>
  <si>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</si>
  <si>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</si>
  <si>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</si>
  <si>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</si>
  <si>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</si>
  <si>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</si>
  <si>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</si>
  <si>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</si>
  <si>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</si>
  <si>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</si>
  <si>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</si>
  <si>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</si>
  <si>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</si>
  <si>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</si>
  <si>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</si>
  <si>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</si>
  <si>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</si>
  <si>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</si>
  <si>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</si>
  <si>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</si>
  <si>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</si>
  <si>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</si>
  <si>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</si>
  <si>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</si>
  <si>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</si>
  <si>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</si>
  <si>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</si>
  <si>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</si>
  <si>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</si>
  <si>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</si>
  <si>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</si>
  <si>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</si>
  <si>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</si>
  <si>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</si>
  <si>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</si>
  <si>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</si>
  <si>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</si>
  <si>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</si>
  <si>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</si>
  <si>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</si>
  <si>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</si>
  <si>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</si>
  <si>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</si>
  <si>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</si>
  <si>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</si>
  <si>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</si>
  <si>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</si>
  <si>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</si>
  <si>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</si>
  <si>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</si>
  <si>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</si>
  <si>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</si>
  <si>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</si>
  <si>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</si>
  <si>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</si>
  <si>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</si>
  <si>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</si>
  <si>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</si>
  <si>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</si>
  <si>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</si>
  <si>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</si>
  <si>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</si>
  <si>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</si>
  <si>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</si>
  <si>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</si>
  <si>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</si>
  <si>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</si>
  <si>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</si>
  <si>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</si>
  <si>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</si>
  <si>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</si>
  <si>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</si>
  <si>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</si>
  <si>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</si>
  <si>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</si>
  <si>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</si>
  <si>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</si>
  <si>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</si>
  <si>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</si>
  <si>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</si>
  <si>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</si>
  <si>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</si>
  <si>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</si>
  <si>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</si>
  <si>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</si>
  <si>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</si>
  <si>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</si>
  <si>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</si>
  <si>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</si>
  <si>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</si>
  <si>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</si>
  <si>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</si>
  <si>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</si>
  <si>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</si>
  <si>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</si>
  <si>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</si>
  <si>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</si>
  <si>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</si>
  <si>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</si>
  <si>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</si>
  <si>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</si>
  <si>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</si>
  <si>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</si>
  <si>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</si>
  <si>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</si>
  <si>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</si>
  <si>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</si>
  <si>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</si>
  <si>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</si>
  <si>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</si>
  <si>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</si>
  <si>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</si>
  <si>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</si>
  <si>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</si>
  <si>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</si>
  <si>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</si>
  <si>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</si>
  <si>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</si>
  <si>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</si>
  <si>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</si>
  <si>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</si>
  <si>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</si>
  <si>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</si>
  <si>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</si>
  <si>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</si>
  <si>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</si>
  <si>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</si>
  <si>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</si>
  <si>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</si>
  <si>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</si>
  <si>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</si>
  <si>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</si>
  <si>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</si>
  <si>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</si>
  <si>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</si>
  <si>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</si>
  <si>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</si>
  <si>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</si>
  <si>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</si>
  <si>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</si>
  <si>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</si>
  <si>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</si>
  <si>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</si>
  <si>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</si>
  <si>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</si>
  <si>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</si>
  <si>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</si>
  <si>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</si>
  <si>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</si>
  <si>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</si>
  <si>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</si>
  <si>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</si>
  <si>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</si>
  <si>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</si>
  <si>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</si>
  <si>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</si>
  <si>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</si>
  <si>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</si>
  <si>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</si>
  <si>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</si>
  <si>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</si>
  <si>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</si>
  <si>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</si>
  <si>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</si>
  <si>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</si>
  <si>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</si>
  <si>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</si>
  <si>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</si>
  <si>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</si>
  <si>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</si>
  <si>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</si>
  <si>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</si>
  <si>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</si>
  <si>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</si>
  <si>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</si>
  <si>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</si>
  <si>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</si>
  <si>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</si>
  <si>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</si>
  <si>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</si>
  <si>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</si>
  <si>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</si>
  <si>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</si>
  <si>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</si>
  <si>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</si>
  <si>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</si>
  <si>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</si>
  <si>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</si>
  <si>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</si>
  <si>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</si>
  <si>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</si>
  <si>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</si>
  <si>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</si>
  <si>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</si>
  <si>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</si>
  <si>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</si>
  <si>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</si>
  <si>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</si>
  <si>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</si>
  <si>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</si>
  <si>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</si>
  <si>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</si>
  <si>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</si>
  <si>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</si>
  <si>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</si>
  <si>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</si>
  <si>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</si>
  <si>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</si>
  <si>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</si>
  <si>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</si>
  <si>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</si>
  <si>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</si>
  <si>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</si>
  <si>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</si>
  <si>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</si>
  <si>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</si>
  <si>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</si>
  <si>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</si>
  <si>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</si>
  <si>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</si>
  <si>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</si>
  <si>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</si>
  <si>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</si>
  <si>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</si>
  <si>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</si>
  <si>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</si>
  <si>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</si>
  <si>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</si>
  <si>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</si>
  <si>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</si>
  <si>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</si>
  <si>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</si>
  <si>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</si>
  <si>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</si>
  <si>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</si>
  <si>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</si>
  <si>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</si>
  <si>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</si>
  <si>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</si>
  <si>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</si>
  <si>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</si>
  <si>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</si>
  <si>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</si>
  <si>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</si>
  <si>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</si>
  <si>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</si>
  <si>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</si>
  <si>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</si>
  <si>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</si>
  <si>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</si>
  <si>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</si>
  <si>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</si>
  <si>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</si>
  <si>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</si>
  <si>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</si>
  <si>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</si>
  <si>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</si>
  <si>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</si>
  <si>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</si>
  <si>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</si>
  <si>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</si>
  <si>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</si>
  <si>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</si>
  <si>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</si>
  <si>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</si>
  <si>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</si>
  <si>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</si>
  <si>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</si>
  <si>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</si>
  <si>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</si>
  <si>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</si>
  <si>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</si>
  <si>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</si>
  <si>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</si>
  <si>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</si>
  <si>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</si>
  <si>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</si>
  <si>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</si>
  <si>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</si>
  <si>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</si>
  <si>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</si>
  <si>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</si>
  <si>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</si>
  <si>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</si>
  <si>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</si>
  <si>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</si>
  <si>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</si>
  <si>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</si>
  <si>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</si>
  <si>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</si>
  <si>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</si>
  <si>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</si>
  <si>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</si>
  <si>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</si>
  <si>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</si>
  <si>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</si>
  <si>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</si>
  <si>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</si>
  <si>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</si>
  <si>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</si>
  <si>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</si>
  <si>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</si>
  <si>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</si>
  <si>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</si>
  <si>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</si>
  <si>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</si>
  <si>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</si>
  <si>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</si>
  <si>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</si>
  <si>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</si>
  <si>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</si>
  <si>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</si>
  <si>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</si>
  <si>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</si>
  <si>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</si>
  <si>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</si>
  <si>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</si>
  <si>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</si>
  <si>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</si>
  <si>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</si>
  <si>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</si>
  <si>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</si>
  <si>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</si>
  <si>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</si>
  <si>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</si>
  <si>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</si>
  <si>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</si>
  <si>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</si>
  <si>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</si>
  <si>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</si>
  <si>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</si>
  <si>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</si>
  <si>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</si>
  <si>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</si>
  <si>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</si>
  <si>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</si>
  <si>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</si>
  <si>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</si>
  <si>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</si>
  <si>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</si>
  <si>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</si>
  <si>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</si>
  <si>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</si>
  <si>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</si>
  <si>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</si>
  <si>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</si>
  <si>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</si>
  <si>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</si>
  <si>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</si>
  <si>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</si>
  <si>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</si>
  <si>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</si>
  <si>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</si>
  <si>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</si>
  <si>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</si>
  <si>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</si>
  <si>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</si>
  <si>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</si>
  <si>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</si>
  <si>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</si>
  <si>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</si>
  <si>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</si>
  <si>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</si>
  <si>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</si>
  <si>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</si>
  <si>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</si>
  <si>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</si>
  <si>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</si>
  <si>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</si>
  <si>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</si>
  <si>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</si>
  <si>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</si>
  <si>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</si>
  <si>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</si>
  <si>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</si>
  <si>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</si>
  <si>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</si>
  <si>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</si>
  <si>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</si>
  <si>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</si>
  <si>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</si>
  <si>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</si>
  <si>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</si>
  <si>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</si>
  <si>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</si>
  <si>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</si>
  <si>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</si>
  <si>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</si>
  <si>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</si>
  <si>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</si>
  <si>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</si>
  <si>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</si>
  <si>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</si>
  <si>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</si>
  <si>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</si>
  <si>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</si>
  <si>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</si>
  <si>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</si>
  <si>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</si>
  <si>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</si>
  <si>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</si>
  <si>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</si>
  <si>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</si>
  <si>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</si>
  <si>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</si>
  <si>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</si>
  <si>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</si>
  <si>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</si>
  <si>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</si>
  <si>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</si>
  <si>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</si>
  <si>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</si>
  <si>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</si>
  <si>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</si>
  <si>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</si>
  <si>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</si>
  <si>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</si>
  <si>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</si>
  <si>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</si>
  <si>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</si>
  <si>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</si>
  <si>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</si>
  <si>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</si>
  <si>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</si>
  <si>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</si>
  <si>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</si>
  <si>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</si>
  <si>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</si>
  <si>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</si>
  <si>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</si>
  <si>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</si>
  <si>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</si>
  <si>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</si>
  <si>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</si>
  <si>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</si>
  <si>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</si>
  <si>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</si>
  <si>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</si>
  <si>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</si>
  <si>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</si>
  <si>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</si>
  <si>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</si>
  <si>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</si>
  <si>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</si>
  <si>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</si>
  <si>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</si>
  <si>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</si>
  <si>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</si>
  <si>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</si>
  <si>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</si>
  <si>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</si>
  <si>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</si>
  <si>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</si>
  <si>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</si>
  <si>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</si>
  <si>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</si>
  <si>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</si>
  <si>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</si>
  <si>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</si>
  <si>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</si>
  <si>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</si>
  <si>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</si>
  <si>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</si>
  <si>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</si>
  <si>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</si>
  <si>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</si>
  <si>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</si>
  <si>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</si>
  <si>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</si>
  <si>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</si>
  <si>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</si>
  <si>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</si>
  <si>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</si>
  <si>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</si>
  <si>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</si>
  <si>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</si>
  <si>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</si>
  <si>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</si>
  <si>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</si>
  <si>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</si>
  <si>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</si>
  <si>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</si>
  <si>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</si>
  <si>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</si>
  <si>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</si>
  <si>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</si>
  <si>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</si>
  <si>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</si>
  <si>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</si>
  <si>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</si>
  <si>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</si>
  <si>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</si>
  <si>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</si>
  <si>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</si>
  <si>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</si>
  <si>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</si>
  <si>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</si>
  <si>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</si>
  <si>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</si>
  <si>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</si>
  <si>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</si>
  <si>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</si>
  <si>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</si>
  <si>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</si>
  <si>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</si>
  <si>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</si>
  <si>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</si>
  <si>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</si>
  <si>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</si>
  <si>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</si>
  <si>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</si>
  <si>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</si>
  <si>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</si>
  <si>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</si>
  <si>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</si>
  <si>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</si>
  <si>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</si>
  <si>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</si>
  <si>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</si>
  <si>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</si>
  <si>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</si>
  <si>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</si>
  <si>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</si>
  <si>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</si>
  <si>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</si>
  <si>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</si>
  <si>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</si>
  <si>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</si>
  <si>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</si>
  <si>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</si>
  <si>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</si>
  <si>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</si>
  <si>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</si>
  <si>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</si>
  <si>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</si>
  <si>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</si>
  <si>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</si>
  <si>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</si>
  <si>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</si>
  <si>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</si>
  <si>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</si>
  <si>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</si>
  <si>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</si>
  <si>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</si>
  <si>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</si>
  <si>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</si>
  <si>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</si>
  <si>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</si>
  <si>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</si>
  <si>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</si>
  <si>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</si>
  <si>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</si>
  <si>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</si>
  <si>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</si>
  <si>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</si>
  <si>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</si>
  <si>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</si>
  <si>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</si>
  <si>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</si>
  <si>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</si>
  <si>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</si>
  <si>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</si>
  <si>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</si>
  <si>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</si>
  <si>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</si>
  <si>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</si>
  <si>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</si>
  <si>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</si>
  <si>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</si>
  <si>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</si>
  <si>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</si>
  <si>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</si>
  <si>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</si>
  <si>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</si>
  <si>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</si>
  <si>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</si>
  <si>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</si>
  <si>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</si>
  <si>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</si>
  <si>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</si>
  <si>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</si>
  <si>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</si>
  <si>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</si>
  <si>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</si>
  <si>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</si>
  <si>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</si>
  <si>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</si>
  <si>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</si>
  <si>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</si>
  <si>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</si>
  <si>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</si>
  <si>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</si>
  <si>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</si>
  <si>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</si>
  <si>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</si>
  <si>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</si>
  <si>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</si>
  <si>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</si>
  <si>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</si>
  <si>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</si>
  <si>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</si>
  <si>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</si>
  <si>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</si>
  <si>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</si>
  <si>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</si>
  <si>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</si>
  <si>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</si>
  <si>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</si>
  <si>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</si>
  <si>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</si>
  <si>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</si>
  <si>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</si>
  <si>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</si>
  <si>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</si>
  <si>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</si>
  <si>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</si>
  <si>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</si>
  <si>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</si>
  <si>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</si>
  <si>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</si>
  <si>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</si>
  <si>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</si>
  <si>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</si>
  <si>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</si>
  <si>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</si>
  <si>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</si>
  <si>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</si>
  <si>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</si>
  <si>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5. Артанес Майнинг Груп АД</t>
  </si>
  <si>
    <t>17. ФЕЦ Младеново ЕООД</t>
  </si>
  <si>
    <t>01.01.2012-30.09.2012 година</t>
  </si>
  <si>
    <t>Дата на съставяне: 15.12.2012</t>
  </si>
  <si>
    <t xml:space="preserve">Дата на съставяне:     15.12.2012                </t>
  </si>
  <si>
    <t xml:space="preserve">Дата  на съставяне:     15.12.2012                                                                           </t>
  </si>
  <si>
    <t xml:space="preserve">Дата на съставяне:         15.12.2012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</si>
</sst>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1" fontId="4" fillId="0" borderId="0" xfId="60" applyNumberFormat="1" applyFont="1">
      <alignment/>
      <protection/>
    </xf>
    <xf numFmtId="174" fontId="10" fillId="35" borderId="10" xfId="62" applyNumberFormat="1" applyFont="1" applyFill="1" applyBorder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R186"/>
  <sheetViews>
    <sheetView tabSelected="1" zoomScalePageLayoutView="0" workbookViewId="0" topLeftCell="A1">
      <selection activeCell="C19" sqref="C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5" t="s">
        <v>1</v>
      </c>
      <c r="B3" s="596"/>
      <c r="C3" s="596"/>
      <c r="D3" s="596"/>
      <c r="E3" s="462" t="s">
        <v>863</v>
      </c>
      <c r="F3" s="217" t="s">
        <v>2</v>
      </c>
      <c r="G3" s="172"/>
      <c r="H3" s="461" t="s">
        <v>865</v>
      </c>
    </row>
    <row r="4" spans="1:8" ht="15">
      <c r="A4" s="595" t="s">
        <v>3</v>
      </c>
      <c r="B4" s="601"/>
      <c r="C4" s="601"/>
      <c r="D4" s="601"/>
      <c r="E4" s="504" t="s">
        <v>864</v>
      </c>
      <c r="F4" s="597" t="s">
        <v>4</v>
      </c>
      <c r="G4" s="598"/>
      <c r="H4" s="461" t="s">
        <v>866</v>
      </c>
    </row>
    <row r="5" spans="1:8" ht="15">
      <c r="A5" s="595" t="s">
        <v>5</v>
      </c>
      <c r="B5" s="596"/>
      <c r="C5" s="596"/>
      <c r="D5" s="596"/>
      <c r="E5" s="505" t="s">
        <v>889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19442</v>
      </c>
      <c r="D12" s="151">
        <v>17807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839</v>
      </c>
      <c r="D13" s="151">
        <v>1094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3700</v>
      </c>
      <c r="D15" s="151">
        <v>4081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279</v>
      </c>
      <c r="D16" s="151">
        <f>634-326</f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5679</v>
      </c>
      <c r="D17" s="151">
        <v>5669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684</v>
      </c>
      <c r="D18" s="151">
        <f>1123-D16</f>
        <v>815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36231</v>
      </c>
      <c r="D19" s="155">
        <f>SUM(D11:D18)</f>
        <v>35382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573</v>
      </c>
      <c r="D23" s="151">
        <v>619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47</v>
      </c>
      <c r="D24" s="151">
        <v>68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620</v>
      </c>
      <c r="D27" s="155">
        <f>SUM(D23:D26)</f>
        <v>687</v>
      </c>
      <c r="E27" s="253" t="s">
        <v>83</v>
      </c>
      <c r="F27" s="242" t="s">
        <v>84</v>
      </c>
      <c r="G27" s="154">
        <f>SUM(G28:G30)</f>
        <v>-27523</v>
      </c>
      <c r="H27" s="154">
        <f>SUM(H28:H30)</f>
        <v>-14937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>
        <v>4688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-32211</v>
      </c>
      <c r="H29" s="316">
        <v>-19625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ДОХОДИТЕ'!C41-'справка №2-ОТЧЕТ ЗА ДОХОДИТЕ'!G34</f>
        <v>531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-12586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-26992</v>
      </c>
      <c r="H33" s="154">
        <f>H27+H31+H32</f>
        <v>-27523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16905</v>
      </c>
      <c r="D34" s="155">
        <f>SUM(D35:D38)</f>
        <v>17022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16901</v>
      </c>
      <c r="D35" s="151">
        <v>17018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51016</v>
      </c>
      <c r="H36" s="154">
        <f>H25+H17+H33</f>
        <v>50485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5689</v>
      </c>
      <c r="H44" s="152">
        <v>2781</v>
      </c>
    </row>
    <row r="45" spans="1:15" ht="15">
      <c r="A45" s="235" t="s">
        <v>136</v>
      </c>
      <c r="B45" s="249" t="s">
        <v>137</v>
      </c>
      <c r="C45" s="155">
        <f>C34+C39+C44</f>
        <v>16905</v>
      </c>
      <c r="D45" s="155">
        <f>D34+D39+D44</f>
        <v>17022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37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f>1385-973+154</f>
        <v>566</v>
      </c>
      <c r="D48" s="151">
        <v>1011</v>
      </c>
      <c r="E48" s="237" t="s">
        <v>149</v>
      </c>
      <c r="F48" s="242" t="s">
        <v>150</v>
      </c>
      <c r="G48" s="152">
        <v>3693</v>
      </c>
      <c r="H48" s="152">
        <f>3747+672</f>
        <v>4419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9419</v>
      </c>
      <c r="H49" s="154">
        <f>SUM(H43:H48)</f>
        <v>7200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9405-C48</f>
        <v>8839</v>
      </c>
      <c r="D50" s="151">
        <f>21647-D48</f>
        <v>20636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9405</v>
      </c>
      <c r="D51" s="155">
        <f>SUM(D47:D50)</f>
        <v>21647</v>
      </c>
      <c r="E51" s="251" t="s">
        <v>157</v>
      </c>
      <c r="F51" s="245" t="s">
        <v>158</v>
      </c>
      <c r="G51" s="152">
        <v>62</v>
      </c>
      <c r="H51" s="152">
        <v>62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2561</v>
      </c>
      <c r="D54" s="151">
        <v>2561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65722</v>
      </c>
      <c r="D55" s="155">
        <f>D19+D20+D21+D27+D32+D45+D51+D53+D54</f>
        <v>77299</v>
      </c>
      <c r="E55" s="237" t="s">
        <v>172</v>
      </c>
      <c r="F55" s="261" t="s">
        <v>173</v>
      </c>
      <c r="G55" s="154">
        <f>G49+G51+G52+G53+G54</f>
        <v>9481</v>
      </c>
      <c r="H55" s="154">
        <f>H49+H51+H52+H53+H54</f>
        <v>7262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4683</v>
      </c>
      <c r="D58" s="151">
        <v>3605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58816</v>
      </c>
      <c r="H59" s="152">
        <f>58429-H44</f>
        <v>55648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446</v>
      </c>
      <c r="H60" s="152">
        <v>498</v>
      </c>
    </row>
    <row r="61" spans="1:18" ht="15">
      <c r="A61" s="235" t="s">
        <v>187</v>
      </c>
      <c r="B61" s="244" t="s">
        <v>188</v>
      </c>
      <c r="C61" s="151">
        <v>1143</v>
      </c>
      <c r="D61" s="151">
        <v>391</v>
      </c>
      <c r="E61" s="243" t="s">
        <v>189</v>
      </c>
      <c r="F61" s="272" t="s">
        <v>190</v>
      </c>
      <c r="G61" s="154">
        <f>SUM(G62:G68)</f>
        <v>25356</v>
      </c>
      <c r="H61" s="154">
        <f>SUM(H62:H68)</f>
        <v>32921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4195+50</f>
        <v>4245</v>
      </c>
      <c r="H62" s="152">
        <f>7154+2362</f>
        <v>9516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5346-37</f>
        <v>5309</v>
      </c>
      <c r="H63" s="152">
        <f>10506</f>
        <v>10506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5826</v>
      </c>
      <c r="D64" s="155">
        <f>SUM(D58:D63)</f>
        <v>3996</v>
      </c>
      <c r="E64" s="237" t="s">
        <v>200</v>
      </c>
      <c r="F64" s="242" t="s">
        <v>201</v>
      </c>
      <c r="G64" s="152">
        <v>5770</v>
      </c>
      <c r="H64" s="152">
        <v>6060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7443</v>
      </c>
      <c r="H65" s="152">
        <v>4946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1423</v>
      </c>
      <c r="H66" s="152">
        <v>558</v>
      </c>
    </row>
    <row r="67" spans="1:8" ht="15">
      <c r="A67" s="235" t="s">
        <v>207</v>
      </c>
      <c r="B67" s="241" t="s">
        <v>208</v>
      </c>
      <c r="C67" s="151">
        <v>6567</v>
      </c>
      <c r="D67" s="151">
        <f>7689+500</f>
        <v>8189</v>
      </c>
      <c r="E67" s="237" t="s">
        <v>209</v>
      </c>
      <c r="F67" s="242" t="s">
        <v>210</v>
      </c>
      <c r="G67" s="152">
        <v>1166</v>
      </c>
      <c r="H67" s="152">
        <v>215</v>
      </c>
    </row>
    <row r="68" spans="1:8" ht="15">
      <c r="A68" s="235" t="s">
        <v>211</v>
      </c>
      <c r="B68" s="241" t="s">
        <v>212</v>
      </c>
      <c r="C68" s="151">
        <f>12367+6285-5936+2413+34801</f>
        <v>49930</v>
      </c>
      <c r="D68" s="151">
        <f>15550+5979-5936+21588+3597</f>
        <v>40778</v>
      </c>
      <c r="E68" s="237" t="s">
        <v>213</v>
      </c>
      <c r="F68" s="242" t="s">
        <v>214</v>
      </c>
      <c r="G68" s="152"/>
      <c r="H68" s="152">
        <f>1068+52</f>
        <v>1120</v>
      </c>
    </row>
    <row r="69" spans="1:8" ht="15">
      <c r="A69" s="235" t="s">
        <v>215</v>
      </c>
      <c r="B69" s="241" t="s">
        <v>216</v>
      </c>
      <c r="C69" s="151">
        <v>10355</v>
      </c>
      <c r="D69" s="151">
        <v>7020</v>
      </c>
      <c r="E69" s="251" t="s">
        <v>78</v>
      </c>
      <c r="F69" s="242" t="s">
        <v>217</v>
      </c>
      <c r="G69" s="152">
        <f>2053+1793</f>
        <v>3846</v>
      </c>
      <c r="H69" s="152">
        <f>1738+972</f>
        <v>2710</v>
      </c>
    </row>
    <row r="70" spans="1:8" ht="15">
      <c r="A70" s="235" t="s">
        <v>218</v>
      </c>
      <c r="B70" s="241" t="s">
        <v>219</v>
      </c>
      <c r="C70" s="151">
        <f>9259-4953</f>
        <v>4306</v>
      </c>
      <c r="D70" s="151">
        <f>7985-4953</f>
        <v>3032</v>
      </c>
      <c r="E70" s="237" t="s">
        <v>220</v>
      </c>
      <c r="F70" s="242" t="s">
        <v>221</v>
      </c>
      <c r="G70" s="152">
        <v>220</v>
      </c>
      <c r="H70" s="152">
        <v>220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88684</v>
      </c>
      <c r="H71" s="161">
        <f>H59+H60+H61+H69+H70</f>
        <v>91997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441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266+196+2733+2102+1</f>
        <v>5298</v>
      </c>
      <c r="D74" s="151">
        <f>151+2477+1845</f>
        <v>4473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76897</v>
      </c>
      <c r="D75" s="155">
        <f>SUM(D67:D74)</f>
        <v>63492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88684</v>
      </c>
      <c r="H79" s="162">
        <f>H71+H74+H75+H76</f>
        <v>91997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</v>
      </c>
      <c r="D87" s="151">
        <v>693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650</v>
      </c>
      <c r="D88" s="151">
        <v>3790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42</v>
      </c>
      <c r="D89" s="151">
        <v>474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736</v>
      </c>
      <c r="D91" s="155">
        <f>SUM(D87:D90)</f>
        <v>4957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83459</v>
      </c>
      <c r="D93" s="155">
        <f>D64+D75+D84+D91+D92</f>
        <v>72445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149181</v>
      </c>
      <c r="D94" s="164">
        <f>D93+D55</f>
        <v>149744</v>
      </c>
      <c r="E94" s="449" t="s">
        <v>270</v>
      </c>
      <c r="F94" s="289" t="s">
        <v>271</v>
      </c>
      <c r="G94" s="165">
        <f>G36+G39+G55+G79</f>
        <v>149181</v>
      </c>
      <c r="H94" s="165">
        <f>H36+H39+H55+H79</f>
        <v>149744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575"/>
      <c r="M97" s="157"/>
    </row>
    <row r="98" spans="1:13" ht="15">
      <c r="A98" s="45" t="s">
        <v>890</v>
      </c>
      <c r="B98" s="432"/>
      <c r="C98" s="599" t="s">
        <v>273</v>
      </c>
      <c r="D98" s="599"/>
      <c r="E98" s="59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9" t="s">
        <v>855</v>
      </c>
      <c r="D100" s="600"/>
      <c r="E100" s="600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R366"/>
  <sheetViews>
    <sheetView zoomScalePageLayoutView="0" workbookViewId="0" topLeftCell="A25">
      <selection activeCell="E46" sqref="E4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4" t="str">
        <f>'справка №1-БАЛАНС'!E3</f>
        <v>"ЕНЕМОНА"АД, КОЗЛОДУЙ</v>
      </c>
      <c r="C2" s="604"/>
      <c r="D2" s="604"/>
      <c r="E2" s="604"/>
      <c r="F2" s="606" t="s">
        <v>2</v>
      </c>
      <c r="G2" s="606"/>
      <c r="H2" s="525" t="str">
        <f>'справка №1-БАЛАНС'!H3</f>
        <v>,020955078</v>
      </c>
    </row>
    <row r="3" spans="1:8" ht="15">
      <c r="A3" s="467" t="s">
        <v>275</v>
      </c>
      <c r="B3" s="604" t="str">
        <f>'справка №1-БАЛАНС'!E4</f>
        <v> НЕКОНСОЛИДИРАН</v>
      </c>
      <c r="C3" s="604"/>
      <c r="D3" s="604"/>
      <c r="E3" s="604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5" t="str">
        <f>'справка №1-БАЛАНС'!E5</f>
        <v>01.01.2012-30.09.2012 година</v>
      </c>
      <c r="C4" s="605"/>
      <c r="D4" s="60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8104</v>
      </c>
      <c r="D9" s="46">
        <v>25278</v>
      </c>
      <c r="E9" s="298" t="s">
        <v>285</v>
      </c>
      <c r="F9" s="548" t="s">
        <v>286</v>
      </c>
      <c r="G9" s="549">
        <v>43278</v>
      </c>
      <c r="H9" s="549">
        <v>61784</v>
      </c>
    </row>
    <row r="10" spans="1:8" ht="12">
      <c r="A10" s="298" t="s">
        <v>287</v>
      </c>
      <c r="B10" s="299" t="s">
        <v>288</v>
      </c>
      <c r="C10" s="46">
        <v>13652</v>
      </c>
      <c r="D10" s="46">
        <v>23213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1335</v>
      </c>
      <c r="D11" s="46">
        <v>1348</v>
      </c>
      <c r="E11" s="300" t="s">
        <v>293</v>
      </c>
      <c r="F11" s="548" t="s">
        <v>294</v>
      </c>
      <c r="G11" s="549">
        <v>241</v>
      </c>
      <c r="H11" s="549">
        <v>176</v>
      </c>
    </row>
    <row r="12" spans="1:8" ht="12">
      <c r="A12" s="298" t="s">
        <v>295</v>
      </c>
      <c r="B12" s="299" t="s">
        <v>296</v>
      </c>
      <c r="C12" s="46">
        <v>15625</v>
      </c>
      <c r="D12" s="46">
        <v>12467</v>
      </c>
      <c r="E12" s="300" t="s">
        <v>78</v>
      </c>
      <c r="F12" s="548" t="s">
        <v>297</v>
      </c>
      <c r="G12" s="549">
        <v>706</v>
      </c>
      <c r="H12" s="549">
        <v>11116</v>
      </c>
    </row>
    <row r="13" spans="1:18" ht="12">
      <c r="A13" s="298" t="s">
        <v>298</v>
      </c>
      <c r="B13" s="299" t="s">
        <v>299</v>
      </c>
      <c r="C13" s="46">
        <v>2007</v>
      </c>
      <c r="D13" s="46">
        <v>1756</v>
      </c>
      <c r="E13" s="301" t="s">
        <v>51</v>
      </c>
      <c r="F13" s="550" t="s">
        <v>300</v>
      </c>
      <c r="G13" s="547">
        <f>SUM(G9:G12)</f>
        <v>44225</v>
      </c>
      <c r="H13" s="547">
        <f>SUM(H9:H12)</f>
        <v>73076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-752</v>
      </c>
      <c r="D15" s="47">
        <v>-428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3545</v>
      </c>
      <c r="D16" s="47">
        <v>2327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43516</v>
      </c>
      <c r="D19" s="49">
        <f>SUM(D9:D15)+D16</f>
        <v>65961</v>
      </c>
      <c r="E19" s="304" t="s">
        <v>317</v>
      </c>
      <c r="F19" s="551" t="s">
        <v>318</v>
      </c>
      <c r="G19" s="549">
        <v>1095</v>
      </c>
      <c r="H19" s="549">
        <v>1075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2299</v>
      </c>
      <c r="H20" s="549">
        <v>536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3603</v>
      </c>
      <c r="D22" s="46">
        <v>3152</v>
      </c>
      <c r="E22" s="304" t="s">
        <v>326</v>
      </c>
      <c r="F22" s="551" t="s">
        <v>327</v>
      </c>
      <c r="G22" s="549">
        <v>16</v>
      </c>
      <c r="H22" s="549">
        <v>22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50</v>
      </c>
      <c r="H23" s="549">
        <v>128</v>
      </c>
    </row>
    <row r="24" spans="1:18" ht="12">
      <c r="A24" s="298" t="s">
        <v>332</v>
      </c>
      <c r="B24" s="305" t="s">
        <v>333</v>
      </c>
      <c r="C24" s="46">
        <v>35</v>
      </c>
      <c r="D24" s="46">
        <v>67</v>
      </c>
      <c r="E24" s="301" t="s">
        <v>103</v>
      </c>
      <c r="F24" s="553" t="s">
        <v>334</v>
      </c>
      <c r="G24" s="547">
        <f>SUM(G19:G23)</f>
        <v>3460</v>
      </c>
      <c r="H24" s="547">
        <f>SUM(H19:H23)</f>
        <v>1761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>
        <v>479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3638</v>
      </c>
      <c r="D26" s="49">
        <f>SUM(D22:D25)</f>
        <v>3698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47154</v>
      </c>
      <c r="D28" s="50">
        <f>D26+D19</f>
        <v>69659</v>
      </c>
      <c r="E28" s="127" t="s">
        <v>339</v>
      </c>
      <c r="F28" s="553" t="s">
        <v>340</v>
      </c>
      <c r="G28" s="547">
        <f>G13+G15+G24</f>
        <v>47685</v>
      </c>
      <c r="H28" s="547">
        <f>H13+H15+H24</f>
        <v>74837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531</v>
      </c>
      <c r="D30" s="50">
        <f>IF((H28-D28)&gt;0,H28-D28,0)</f>
        <v>5178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47154</v>
      </c>
      <c r="D33" s="49">
        <f>D28+D31+D32</f>
        <v>69659</v>
      </c>
      <c r="E33" s="127" t="s">
        <v>353</v>
      </c>
      <c r="F33" s="553" t="s">
        <v>354</v>
      </c>
      <c r="G33" s="53">
        <f>G32+G31+G28</f>
        <v>47685</v>
      </c>
      <c r="H33" s="53">
        <f>H32+H31+H28</f>
        <v>74837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531</v>
      </c>
      <c r="D34" s="50">
        <f>IF((H33-D33)&gt;0,H33-D33,0)</f>
        <v>5178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517.8000000000001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f>D34*10%</f>
        <v>517.8000000000001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531</v>
      </c>
      <c r="D39" s="460">
        <f>+IF((H33-D33-D35)&gt;0,H33-D33-D35,0)</f>
        <v>4660.2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531</v>
      </c>
      <c r="D41" s="52">
        <f>IF(H39=0,IF(D39-D40&gt;0,D39-D40+H40,0),IF(H39-H40&lt;0,H40-H39+D39,0))</f>
        <v>4660.2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47685</v>
      </c>
      <c r="D42" s="53">
        <f>D33+D35+D39</f>
        <v>74837</v>
      </c>
      <c r="E42" s="128" t="s">
        <v>380</v>
      </c>
      <c r="F42" s="129" t="s">
        <v>381</v>
      </c>
      <c r="G42" s="53">
        <f>G39+G33</f>
        <v>47685</v>
      </c>
      <c r="H42" s="53">
        <f>H39+H33</f>
        <v>74837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7" t="s">
        <v>861</v>
      </c>
      <c r="B45" s="607"/>
      <c r="C45" s="607"/>
      <c r="D45" s="607"/>
      <c r="E45" s="60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41258</v>
      </c>
      <c r="C48" s="427" t="s">
        <v>382</v>
      </c>
      <c r="D48" s="602"/>
      <c r="E48" s="602"/>
      <c r="F48" s="602"/>
      <c r="G48" s="602"/>
      <c r="H48" s="60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3"/>
      <c r="E50" s="603"/>
      <c r="F50" s="603"/>
      <c r="G50" s="603"/>
      <c r="H50" s="60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02"/>
  <sheetViews>
    <sheetView zoomScalePageLayoutView="0" workbookViewId="0" topLeftCell="A25">
      <selection activeCell="B53" sqref="B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01.01.2012-30.09.2012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47463</v>
      </c>
      <c r="D10" s="54">
        <v>65592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-41779</v>
      </c>
      <c r="D11" s="591">
        <v>-59909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-17455</v>
      </c>
      <c r="D13" s="591">
        <v>-15486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-1321</v>
      </c>
      <c r="D14" s="591">
        <v>-336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-145</v>
      </c>
      <c r="D15" s="591">
        <v>-701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f>-1331+42</f>
        <v>-1289</v>
      </c>
      <c r="D19" s="591">
        <v>-1486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-14526</v>
      </c>
      <c r="D20" s="55">
        <f>SUM(D10:D19)</f>
        <v>-12326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-120</v>
      </c>
      <c r="D22" s="591">
        <v>-488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399</v>
      </c>
      <c r="D23" s="594">
        <v>2095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-9368</v>
      </c>
      <c r="D24" s="591">
        <v>-5348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6105</v>
      </c>
      <c r="D25" s="591">
        <v>7051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-85</v>
      </c>
      <c r="D27" s="591">
        <v>-5551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/>
      <c r="D28" s="594">
        <v>10471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2299</v>
      </c>
      <c r="D29" s="594">
        <v>1464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15409</f>
        <v>15409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14639</v>
      </c>
      <c r="D32" s="55">
        <f>SUM(D22:D31)</f>
        <v>9694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52790</v>
      </c>
      <c r="D36" s="591">
        <v>36908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-54225</v>
      </c>
      <c r="D37" s="591">
        <v>-31912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-377</v>
      </c>
      <c r="D38" s="591">
        <v>-505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-2522</v>
      </c>
      <c r="D39" s="591">
        <v>-2800</v>
      </c>
      <c r="E39" s="130"/>
      <c r="F39" s="130"/>
    </row>
    <row r="40" spans="1:6" ht="12.75">
      <c r="A40" s="332" t="s">
        <v>444</v>
      </c>
      <c r="B40" s="333" t="s">
        <v>445</v>
      </c>
      <c r="C40" s="591"/>
      <c r="D40" s="594">
        <v>-884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-4334</v>
      </c>
      <c r="D42" s="55">
        <f>SUM(D34:D41)</f>
        <v>819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-4221</v>
      </c>
      <c r="D43" s="55">
        <f>D42+D32+D20</f>
        <v>-1813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4957</v>
      </c>
      <c r="D44" s="132">
        <v>3818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736</v>
      </c>
      <c r="D45" s="55">
        <f>D44+D43</f>
        <v>2005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C45-C47</f>
        <v>694</v>
      </c>
      <c r="D46" s="56">
        <f>D45-D47</f>
        <v>1741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42</v>
      </c>
      <c r="D47" s="56">
        <v>264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8"/>
      <c r="D50" s="60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8"/>
      <c r="D52" s="60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W537"/>
  <sheetViews>
    <sheetView zoomScalePageLayoutView="0" workbookViewId="0" topLeftCell="A13">
      <selection activeCell="I15" sqref="I1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9" t="s">
        <v>460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11" t="str">
        <f>'справка №1-БАЛАНС'!E3</f>
        <v>"ЕНЕМОНА"АД, КОЗЛОДУЙ</v>
      </c>
      <c r="C3" s="611"/>
      <c r="D3" s="611"/>
      <c r="E3" s="611"/>
      <c r="F3" s="611"/>
      <c r="G3" s="611"/>
      <c r="H3" s="611"/>
      <c r="I3" s="611"/>
      <c r="J3" s="476"/>
      <c r="K3" s="613" t="s">
        <v>2</v>
      </c>
      <c r="L3" s="613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11" t="str">
        <f>'справка №1-БАЛАНС'!E4</f>
        <v> НЕКОНСОЛИДИРАН</v>
      </c>
      <c r="C4" s="611"/>
      <c r="D4" s="611"/>
      <c r="E4" s="611"/>
      <c r="F4" s="611"/>
      <c r="G4" s="611"/>
      <c r="H4" s="611"/>
      <c r="I4" s="611"/>
      <c r="J4" s="136"/>
      <c r="K4" s="614" t="s">
        <v>4</v>
      </c>
      <c r="L4" s="614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5" t="str">
        <f>'справка №1-БАЛАНС'!E5</f>
        <v>01.01.2012-30.09.2012 година</v>
      </c>
      <c r="C5" s="615"/>
      <c r="D5" s="615"/>
      <c r="E5" s="61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-32211</v>
      </c>
      <c r="K11" s="60"/>
      <c r="L11" s="344">
        <f>SUM(C11:K11)</f>
        <v>50485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-32211</v>
      </c>
      <c r="K15" s="61">
        <f t="shared" si="2"/>
        <v>0</v>
      </c>
      <c r="L15" s="344">
        <f t="shared" si="1"/>
        <v>50485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531</v>
      </c>
      <c r="J16" s="345">
        <f>+'справка №1-БАЛАНС'!G32</f>
        <v>0</v>
      </c>
      <c r="K16" s="60"/>
      <c r="L16" s="344">
        <f t="shared" si="1"/>
        <v>531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5219</v>
      </c>
      <c r="J29" s="59">
        <f t="shared" si="6"/>
        <v>-32211</v>
      </c>
      <c r="K29" s="59">
        <f t="shared" si="6"/>
        <v>0</v>
      </c>
      <c r="L29" s="344">
        <f t="shared" si="1"/>
        <v>51016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5219</v>
      </c>
      <c r="J32" s="59">
        <f t="shared" si="7"/>
        <v>-32211</v>
      </c>
      <c r="K32" s="59">
        <f t="shared" si="7"/>
        <v>0</v>
      </c>
      <c r="L32" s="344">
        <f t="shared" si="1"/>
        <v>51016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2" t="s">
        <v>862</v>
      </c>
      <c r="B35" s="612"/>
      <c r="C35" s="612"/>
      <c r="D35" s="612"/>
      <c r="E35" s="612"/>
      <c r="F35" s="612"/>
      <c r="G35" s="612"/>
      <c r="H35" s="612"/>
      <c r="I35" s="612"/>
      <c r="J35" s="61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610" t="s">
        <v>522</v>
      </c>
      <c r="E38" s="610"/>
      <c r="F38" s="610"/>
      <c r="G38" s="610"/>
      <c r="H38" s="610"/>
      <c r="I38" s="610"/>
      <c r="J38" s="15" t="s">
        <v>857</v>
      </c>
      <c r="K38" s="15"/>
      <c r="L38" s="610"/>
      <c r="M38" s="61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232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8" t="s">
        <v>384</v>
      </c>
      <c r="B2" s="629"/>
      <c r="C2" s="630" t="str">
        <f>'справка №1-БАЛАНС'!E3</f>
        <v>"ЕНЕМОНА"АД, КОЗЛОДУЙ</v>
      </c>
      <c r="D2" s="630"/>
      <c r="E2" s="630"/>
      <c r="F2" s="630"/>
      <c r="G2" s="630"/>
      <c r="H2" s="63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8" t="s">
        <v>5</v>
      </c>
      <c r="B3" s="629"/>
      <c r="C3" s="631" t="str">
        <f>'справка №1-БАЛАНС'!E5</f>
        <v>01.01.2012-30.09.2012 година</v>
      </c>
      <c r="D3" s="631"/>
      <c r="E3" s="631"/>
      <c r="F3" s="485"/>
      <c r="G3" s="485"/>
      <c r="H3" s="485"/>
      <c r="I3" s="485"/>
      <c r="J3" s="485"/>
      <c r="K3" s="485"/>
      <c r="L3" s="485"/>
      <c r="M3" s="618" t="s">
        <v>4</v>
      </c>
      <c r="N3" s="618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2" t="s">
        <v>464</v>
      </c>
      <c r="B5" s="623"/>
      <c r="C5" s="62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6" t="s">
        <v>530</v>
      </c>
      <c r="R5" s="616" t="s">
        <v>531</v>
      </c>
    </row>
    <row r="6" spans="1:18" s="100" customFormat="1" ht="48">
      <c r="A6" s="624"/>
      <c r="B6" s="625"/>
      <c r="C6" s="62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7"/>
      <c r="R6" s="61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20014</v>
      </c>
      <c r="E10" s="189">
        <v>2268</v>
      </c>
      <c r="F10" s="189">
        <v>442</v>
      </c>
      <c r="G10" s="74">
        <f aca="true" t="shared" si="3" ref="G10:G39">D10+E10-F10</f>
        <v>21840</v>
      </c>
      <c r="H10" s="65"/>
      <c r="I10" s="65"/>
      <c r="J10" s="74">
        <f t="shared" si="0"/>
        <v>21840</v>
      </c>
      <c r="K10" s="65">
        <v>2207</v>
      </c>
      <c r="L10" s="65">
        <v>323</v>
      </c>
      <c r="M10" s="65">
        <v>132</v>
      </c>
      <c r="N10" s="74">
        <f aca="true" t="shared" si="4" ref="N10:N39">K10+L10-M10</f>
        <v>2398</v>
      </c>
      <c r="O10" s="65"/>
      <c r="P10" s="65"/>
      <c r="Q10" s="74">
        <f t="shared" si="1"/>
        <v>2398</v>
      </c>
      <c r="R10" s="74">
        <f t="shared" si="2"/>
        <v>19442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4234</v>
      </c>
      <c r="E11" s="189">
        <v>126</v>
      </c>
      <c r="F11" s="189">
        <v>175</v>
      </c>
      <c r="G11" s="74">
        <f t="shared" si="3"/>
        <v>4185</v>
      </c>
      <c r="H11" s="65"/>
      <c r="I11" s="65"/>
      <c r="J11" s="74">
        <f t="shared" si="0"/>
        <v>4185</v>
      </c>
      <c r="K11" s="65">
        <v>3140</v>
      </c>
      <c r="L11" s="65">
        <v>371</v>
      </c>
      <c r="M11" s="65">
        <v>165</v>
      </c>
      <c r="N11" s="74">
        <f t="shared" si="4"/>
        <v>3346</v>
      </c>
      <c r="O11" s="65"/>
      <c r="P11" s="65"/>
      <c r="Q11" s="74">
        <f t="shared" si="1"/>
        <v>3346</v>
      </c>
      <c r="R11" s="74">
        <f t="shared" si="2"/>
        <v>839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6578</v>
      </c>
      <c r="E13" s="189">
        <v>14</v>
      </c>
      <c r="F13" s="189">
        <v>207</v>
      </c>
      <c r="G13" s="74">
        <f t="shared" si="3"/>
        <v>6385</v>
      </c>
      <c r="H13" s="65"/>
      <c r="I13" s="65"/>
      <c r="J13" s="74">
        <f t="shared" si="0"/>
        <v>6385</v>
      </c>
      <c r="K13" s="65">
        <v>2497</v>
      </c>
      <c r="L13" s="65">
        <v>356</v>
      </c>
      <c r="M13" s="65">
        <v>168</v>
      </c>
      <c r="N13" s="74">
        <f t="shared" si="4"/>
        <v>2685</v>
      </c>
      <c r="O13" s="65"/>
      <c r="P13" s="65"/>
      <c r="Q13" s="74">
        <f t="shared" si="1"/>
        <v>2685</v>
      </c>
      <c r="R13" s="74">
        <f t="shared" si="2"/>
        <v>3700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635</v>
      </c>
      <c r="E14" s="189">
        <v>9</v>
      </c>
      <c r="F14" s="189">
        <v>12</v>
      </c>
      <c r="G14" s="74">
        <f t="shared" si="3"/>
        <v>632</v>
      </c>
      <c r="H14" s="65"/>
      <c r="I14" s="65"/>
      <c r="J14" s="74">
        <f t="shared" si="0"/>
        <v>632</v>
      </c>
      <c r="K14" s="65">
        <v>327</v>
      </c>
      <c r="L14" s="65">
        <v>37</v>
      </c>
      <c r="M14" s="65">
        <v>12</v>
      </c>
      <c r="N14" s="74">
        <f t="shared" si="4"/>
        <v>352</v>
      </c>
      <c r="O14" s="65"/>
      <c r="P14" s="65"/>
      <c r="Q14" s="74">
        <f t="shared" si="1"/>
        <v>352</v>
      </c>
      <c r="R14" s="74">
        <f t="shared" si="2"/>
        <v>280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5693</v>
      </c>
      <c r="E15" s="457">
        <v>10</v>
      </c>
      <c r="F15" s="457"/>
      <c r="G15" s="74">
        <f t="shared" si="3"/>
        <v>5703</v>
      </c>
      <c r="H15" s="458"/>
      <c r="I15" s="458">
        <v>24</v>
      </c>
      <c r="J15" s="74">
        <f t="shared" si="0"/>
        <v>5679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5679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2111</v>
      </c>
      <c r="E16" s="189">
        <f>26-E14</f>
        <v>17</v>
      </c>
      <c r="F16" s="189">
        <f>39-F14</f>
        <v>27</v>
      </c>
      <c r="G16" s="74">
        <f t="shared" si="3"/>
        <v>2101</v>
      </c>
      <c r="H16" s="65"/>
      <c r="I16" s="65">
        <v>11</v>
      </c>
      <c r="J16" s="74">
        <f t="shared" si="0"/>
        <v>2090</v>
      </c>
      <c r="K16" s="65">
        <v>1285</v>
      </c>
      <c r="L16" s="65">
        <f>217-L14</f>
        <v>180</v>
      </c>
      <c r="M16" s="65">
        <f>69-M14+1</f>
        <v>58</v>
      </c>
      <c r="N16" s="74">
        <f t="shared" si="4"/>
        <v>1407</v>
      </c>
      <c r="O16" s="65"/>
      <c r="P16" s="65"/>
      <c r="Q16" s="74">
        <f aca="true" t="shared" si="5" ref="Q16:Q25">N16+O16-P16</f>
        <v>1407</v>
      </c>
      <c r="R16" s="74">
        <f aca="true" t="shared" si="6" ref="R16:R25">J16-Q16</f>
        <v>683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44873</v>
      </c>
      <c r="E17" s="194">
        <f>SUM(E9:E16)</f>
        <v>2444</v>
      </c>
      <c r="F17" s="194">
        <f>SUM(F9:F16)</f>
        <v>863</v>
      </c>
      <c r="G17" s="74">
        <f t="shared" si="3"/>
        <v>46454</v>
      </c>
      <c r="H17" s="75">
        <f>SUM(H9:H16)</f>
        <v>0</v>
      </c>
      <c r="I17" s="75">
        <f>SUM(I9:I16)</f>
        <v>35</v>
      </c>
      <c r="J17" s="74">
        <f t="shared" si="0"/>
        <v>46419</v>
      </c>
      <c r="K17" s="75">
        <f>SUM(K9:K16)</f>
        <v>9456</v>
      </c>
      <c r="L17" s="75">
        <f>SUM(L9:L16)</f>
        <v>1267</v>
      </c>
      <c r="M17" s="75">
        <f>SUM(M9:M16)</f>
        <v>535</v>
      </c>
      <c r="N17" s="74">
        <f t="shared" si="4"/>
        <v>10188</v>
      </c>
      <c r="O17" s="75">
        <f>SUM(O9:O16)</f>
        <v>0</v>
      </c>
      <c r="P17" s="75">
        <f>SUM(P9:P16)</f>
        <v>0</v>
      </c>
      <c r="Q17" s="74">
        <f t="shared" si="5"/>
        <v>10188</v>
      </c>
      <c r="R17" s="74">
        <f t="shared" si="6"/>
        <v>36231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827</v>
      </c>
      <c r="L21" s="65">
        <v>46</v>
      </c>
      <c r="M21" s="65"/>
      <c r="N21" s="74">
        <f t="shared" si="4"/>
        <v>873</v>
      </c>
      <c r="O21" s="65"/>
      <c r="P21" s="65"/>
      <c r="Q21" s="74">
        <f t="shared" si="5"/>
        <v>873</v>
      </c>
      <c r="R21" s="74">
        <f t="shared" si="6"/>
        <v>573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270</v>
      </c>
      <c r="E22" s="189"/>
      <c r="F22" s="189"/>
      <c r="G22" s="74">
        <f t="shared" si="3"/>
        <v>270</v>
      </c>
      <c r="H22" s="65"/>
      <c r="I22" s="65"/>
      <c r="J22" s="74">
        <f t="shared" si="0"/>
        <v>270</v>
      </c>
      <c r="K22" s="65">
        <v>202</v>
      </c>
      <c r="L22" s="65">
        <v>21</v>
      </c>
      <c r="M22" s="65"/>
      <c r="N22" s="74">
        <f t="shared" si="4"/>
        <v>223</v>
      </c>
      <c r="O22" s="65"/>
      <c r="P22" s="65"/>
      <c r="Q22" s="74">
        <f t="shared" si="5"/>
        <v>223</v>
      </c>
      <c r="R22" s="74">
        <f t="shared" si="6"/>
        <v>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1716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1716</v>
      </c>
      <c r="H25" s="66">
        <f t="shared" si="7"/>
        <v>0</v>
      </c>
      <c r="I25" s="66">
        <f t="shared" si="7"/>
        <v>0</v>
      </c>
      <c r="J25" s="67">
        <f t="shared" si="0"/>
        <v>1716</v>
      </c>
      <c r="K25" s="66">
        <f t="shared" si="7"/>
        <v>1029</v>
      </c>
      <c r="L25" s="66">
        <f t="shared" si="7"/>
        <v>67</v>
      </c>
      <c r="M25" s="66">
        <f t="shared" si="7"/>
        <v>0</v>
      </c>
      <c r="N25" s="67">
        <f t="shared" si="4"/>
        <v>1096</v>
      </c>
      <c r="O25" s="66">
        <f t="shared" si="7"/>
        <v>0</v>
      </c>
      <c r="P25" s="66">
        <f t="shared" si="7"/>
        <v>0</v>
      </c>
      <c r="Q25" s="67">
        <f t="shared" si="5"/>
        <v>1096</v>
      </c>
      <c r="R25" s="67">
        <f t="shared" si="6"/>
        <v>620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19434</v>
      </c>
      <c r="E27" s="192">
        <f aca="true" t="shared" si="8" ref="E27:P27">SUM(E28:E31)</f>
        <v>83</v>
      </c>
      <c r="F27" s="192">
        <f t="shared" si="8"/>
        <v>200</v>
      </c>
      <c r="G27" s="71">
        <f t="shared" si="3"/>
        <v>19317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16905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16905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19430</v>
      </c>
      <c r="E28" s="189">
        <f>53+30</f>
        <v>83</v>
      </c>
      <c r="F28" s="189">
        <v>200</v>
      </c>
      <c r="G28" s="74">
        <f t="shared" si="3"/>
        <v>19313</v>
      </c>
      <c r="H28" s="65"/>
      <c r="I28" s="65">
        <v>2412</v>
      </c>
      <c r="J28" s="74">
        <f t="shared" si="9"/>
        <v>16901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16901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19434</v>
      </c>
      <c r="E38" s="194">
        <f aca="true" t="shared" si="13" ref="E38:P38">E27+E32+E37</f>
        <v>83</v>
      </c>
      <c r="F38" s="194">
        <f t="shared" si="13"/>
        <v>200</v>
      </c>
      <c r="G38" s="74">
        <f t="shared" si="3"/>
        <v>19317</v>
      </c>
      <c r="H38" s="75">
        <f t="shared" si="13"/>
        <v>0</v>
      </c>
      <c r="I38" s="75">
        <f t="shared" si="13"/>
        <v>2412</v>
      </c>
      <c r="J38" s="74">
        <f t="shared" si="9"/>
        <v>16905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16905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66023</v>
      </c>
      <c r="E40" s="438">
        <f>E17+E18+E19+E25+E38+E39</f>
        <v>2527</v>
      </c>
      <c r="F40" s="438">
        <f aca="true" t="shared" si="14" ref="F40:R40">F17+F18+F19+F25+F38+F39</f>
        <v>1063</v>
      </c>
      <c r="G40" s="438">
        <f t="shared" si="14"/>
        <v>67487</v>
      </c>
      <c r="H40" s="438">
        <f t="shared" si="14"/>
        <v>0</v>
      </c>
      <c r="I40" s="438">
        <f t="shared" si="14"/>
        <v>2447</v>
      </c>
      <c r="J40" s="438">
        <f t="shared" si="14"/>
        <v>65040</v>
      </c>
      <c r="K40" s="438">
        <f t="shared" si="14"/>
        <v>10485</v>
      </c>
      <c r="L40" s="438">
        <f t="shared" si="14"/>
        <v>1334</v>
      </c>
      <c r="M40" s="438">
        <f t="shared" si="14"/>
        <v>535</v>
      </c>
      <c r="N40" s="438">
        <f t="shared" si="14"/>
        <v>11284</v>
      </c>
      <c r="O40" s="438">
        <f t="shared" si="14"/>
        <v>0</v>
      </c>
      <c r="P40" s="438">
        <f t="shared" si="14"/>
        <v>0</v>
      </c>
      <c r="Q40" s="438">
        <f t="shared" si="14"/>
        <v>11284</v>
      </c>
      <c r="R40" s="438">
        <f t="shared" si="14"/>
        <v>53756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20" t="s">
        <v>782</v>
      </c>
      <c r="P44" s="621"/>
      <c r="Q44" s="621"/>
      <c r="R44" s="62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AA115"/>
  <sheetViews>
    <sheetView zoomScalePageLayoutView="0" workbookViewId="0" topLeftCell="A85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5" t="s">
        <v>610</v>
      </c>
      <c r="B1" s="635"/>
      <c r="C1" s="635"/>
      <c r="D1" s="635"/>
      <c r="E1" s="63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8" t="str">
        <f>'справка №1-БАЛАНС'!E3</f>
        <v>"ЕНЕМОНА"АД, КОЗЛОДУЙ</v>
      </c>
      <c r="C3" s="639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6" t="str">
        <f>'справка №1-БАЛАНС'!E5</f>
        <v>01.01.2012-30.09.2012 година</v>
      </c>
      <c r="C4" s="637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566</v>
      </c>
      <c r="D15" s="108"/>
      <c r="E15" s="120">
        <f t="shared" si="0"/>
        <v>566</v>
      </c>
      <c r="F15" s="106"/>
    </row>
    <row r="16" spans="1:15" ht="12">
      <c r="A16" s="396" t="s">
        <v>630</v>
      </c>
      <c r="B16" s="397" t="s">
        <v>631</v>
      </c>
      <c r="C16" s="119">
        <f>+C17+C18</f>
        <v>8839</v>
      </c>
      <c r="D16" s="119">
        <f>+D17+D18</f>
        <v>0</v>
      </c>
      <c r="E16" s="120">
        <f t="shared" si="0"/>
        <v>8839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8839</v>
      </c>
      <c r="D18" s="108"/>
      <c r="E18" s="120">
        <f t="shared" si="0"/>
        <v>8839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9405</v>
      </c>
      <c r="D19" s="104">
        <f>D11+D15+D16</f>
        <v>0</v>
      </c>
      <c r="E19" s="118">
        <f>E11+E15+E16</f>
        <v>9405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2561</v>
      </c>
      <c r="D21" s="108"/>
      <c r="E21" s="120">
        <f t="shared" si="0"/>
        <v>2561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6567</v>
      </c>
      <c r="D24" s="119">
        <f>SUM(D25:D27)</f>
        <v>6567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2966</v>
      </c>
      <c r="D25" s="108">
        <f>C25</f>
        <v>2966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3601</v>
      </c>
      <c r="D26" s="108">
        <f>C26</f>
        <v>3601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49930</v>
      </c>
      <c r="D28" s="108">
        <f>C28</f>
        <v>49930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10355</v>
      </c>
      <c r="D29" s="108">
        <f>C29</f>
        <v>10355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4306</v>
      </c>
      <c r="D30" s="108">
        <f>C30</f>
        <v>4306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441</v>
      </c>
      <c r="D33" s="105">
        <f>SUM(D34:D37)</f>
        <v>441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441</v>
      </c>
      <c r="D37" s="108">
        <f>C37</f>
        <v>441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5298</v>
      </c>
      <c r="D38" s="105">
        <f>SUM(D39:D42)</f>
        <v>5298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5298</v>
      </c>
      <c r="D42" s="108">
        <f>C42</f>
        <v>5298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76897</v>
      </c>
      <c r="D43" s="104">
        <f>D24+D28+D29+D31+D30+D32+D33+D38</f>
        <v>76897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88863</v>
      </c>
      <c r="D44" s="103">
        <f>D43+D21+D19+D9</f>
        <v>76897</v>
      </c>
      <c r="E44" s="118">
        <f>E43+E21+E19+E9</f>
        <v>11966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5689</v>
      </c>
      <c r="D56" s="103">
        <f>D57+D59</f>
        <v>0</v>
      </c>
      <c r="E56" s="119">
        <f t="shared" si="1"/>
        <v>5689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5689</v>
      </c>
      <c r="D57" s="108"/>
      <c r="E57" s="119">
        <f t="shared" si="1"/>
        <v>5689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37</v>
      </c>
      <c r="D62" s="108"/>
      <c r="E62" s="119">
        <f t="shared" si="1"/>
        <v>37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3755</v>
      </c>
      <c r="D64" s="108"/>
      <c r="E64" s="119">
        <f t="shared" si="1"/>
        <v>3755</v>
      </c>
      <c r="F64" s="110"/>
    </row>
    <row r="65" spans="1:6" ht="12">
      <c r="A65" s="396" t="s">
        <v>710</v>
      </c>
      <c r="B65" s="397" t="s">
        <v>711</v>
      </c>
      <c r="C65" s="109">
        <v>339</v>
      </c>
      <c r="D65" s="109"/>
      <c r="E65" s="119">
        <f t="shared" si="1"/>
        <v>339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9481</v>
      </c>
      <c r="D66" s="103">
        <f>D52+D56+D61+D62+D63+D64</f>
        <v>0</v>
      </c>
      <c r="E66" s="119">
        <f t="shared" si="1"/>
        <v>9481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4245</v>
      </c>
      <c r="D71" s="105">
        <f>SUM(D72:D74)</f>
        <v>4245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4245</v>
      </c>
      <c r="D72" s="108">
        <f>C72</f>
        <v>4245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58816</v>
      </c>
      <c r="D75" s="103">
        <f>D76+D78</f>
        <v>58816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58816</v>
      </c>
      <c r="D76" s="108">
        <f>C76</f>
        <v>58816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446</v>
      </c>
      <c r="D80" s="103">
        <f>SUM(D81:D84)</f>
        <v>446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446</v>
      </c>
      <c r="D84" s="108">
        <f>C84</f>
        <v>446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21111</v>
      </c>
      <c r="D85" s="104">
        <f>SUM(D86:D90)+D94</f>
        <v>21111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5309</v>
      </c>
      <c r="D86" s="108">
        <f>C86</f>
        <v>5309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5770</v>
      </c>
      <c r="D87" s="108">
        <f>C87</f>
        <v>5770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7443</v>
      </c>
      <c r="D88" s="108">
        <f>C88</f>
        <v>7443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1423</v>
      </c>
      <c r="D89" s="108">
        <f>C89</f>
        <v>1423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0</v>
      </c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1166</v>
      </c>
      <c r="D94" s="108">
        <f>C94</f>
        <v>1166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4066</v>
      </c>
      <c r="D95" s="108">
        <f>C95</f>
        <v>4066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88684</v>
      </c>
      <c r="D96" s="104">
        <f>D85+D80+D75+D71+D95</f>
        <v>88684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98165</v>
      </c>
      <c r="D97" s="104">
        <f>D96+D68+D66</f>
        <v>88684</v>
      </c>
      <c r="E97" s="104">
        <f>E96+E68+E66</f>
        <v>9481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36373</v>
      </c>
      <c r="D104" s="108"/>
      <c r="E104" s="108">
        <v>154</v>
      </c>
      <c r="F104" s="125">
        <f>C104+D104-E104</f>
        <v>36219</v>
      </c>
    </row>
    <row r="105" spans="1:16" ht="12">
      <c r="A105" s="412" t="s">
        <v>778</v>
      </c>
      <c r="B105" s="395" t="s">
        <v>779</v>
      </c>
      <c r="C105" s="103">
        <f>SUM(C102:C104)</f>
        <v>36373</v>
      </c>
      <c r="D105" s="103">
        <f>SUM(D102:D104)</f>
        <v>0</v>
      </c>
      <c r="E105" s="103">
        <f>SUM(E102:E104)</f>
        <v>154</v>
      </c>
      <c r="F105" s="103">
        <f>SUM(F102:F104)</f>
        <v>36219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4" t="s">
        <v>781</v>
      </c>
      <c r="B107" s="634"/>
      <c r="C107" s="634"/>
      <c r="D107" s="634"/>
      <c r="E107" s="634"/>
      <c r="F107" s="63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3" t="s">
        <v>890</v>
      </c>
      <c r="B109" s="633"/>
      <c r="C109" s="633" t="s">
        <v>382</v>
      </c>
      <c r="D109" s="633"/>
      <c r="E109" s="633"/>
      <c r="F109" s="63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2" t="s">
        <v>782</v>
      </c>
      <c r="D111" s="632"/>
      <c r="E111" s="632"/>
      <c r="F111" s="63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40" t="str">
        <f>'справка №1-БАЛАНС'!E3</f>
        <v>"ЕНЕМОНА"АД, КОЗЛОДУЙ</v>
      </c>
      <c r="C4" s="640"/>
      <c r="D4" s="640"/>
      <c r="E4" s="640"/>
      <c r="F4" s="640"/>
      <c r="G4" s="646" t="s">
        <v>2</v>
      </c>
      <c r="H4" s="646"/>
      <c r="I4" s="500" t="str">
        <f>'справка №1-БАЛАНС'!H3</f>
        <v>,020955078</v>
      </c>
    </row>
    <row r="5" spans="1:9" ht="15">
      <c r="A5" s="501" t="s">
        <v>5</v>
      </c>
      <c r="B5" s="641" t="str">
        <f>'справка №1-БАЛАНС'!E5</f>
        <v>01.01.2012-30.09.2012 година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16901</v>
      </c>
      <c r="G12" s="98"/>
      <c r="H12" s="98"/>
      <c r="I12" s="434">
        <f>F12+G12-H12</f>
        <v>16901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16905</v>
      </c>
      <c r="G17" s="85">
        <f t="shared" si="1"/>
        <v>0</v>
      </c>
      <c r="H17" s="85">
        <f t="shared" si="1"/>
        <v>0</v>
      </c>
      <c r="I17" s="434">
        <f t="shared" si="0"/>
        <v>16905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890</v>
      </c>
      <c r="B30" s="643"/>
      <c r="C30" s="643"/>
      <c r="D30" s="459" t="s">
        <v>818</v>
      </c>
      <c r="E30" s="642"/>
      <c r="F30" s="642"/>
      <c r="G30" s="642"/>
      <c r="H30" s="420" t="s">
        <v>782</v>
      </c>
      <c r="I30" s="642"/>
      <c r="J30" s="64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P15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7" t="str">
        <f>'справка №1-БАЛАНС'!E3</f>
        <v>"ЕНЕМОНА"АД, КОЗЛОДУЙ</v>
      </c>
      <c r="C5" s="647"/>
      <c r="D5" s="647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8" t="str">
        <f>'справка №1-БАЛАНС'!E5</f>
        <v>01.01.2012-30.09.2012 година</v>
      </c>
      <c r="C6" s="648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7" ht="12.75">
      <c r="A13" s="36" t="s">
        <v>868</v>
      </c>
      <c r="B13" s="37"/>
      <c r="C13" s="441">
        <v>1769</v>
      </c>
      <c r="D13" s="587">
        <v>99.46</v>
      </c>
      <c r="E13" s="441"/>
      <c r="F13" s="443">
        <f aca="true" t="shared" si="0" ref="F13:F27">C13-E13</f>
        <v>1769</v>
      </c>
      <c r="G13" s="593"/>
    </row>
    <row r="14" spans="1:7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  <c r="G14" s="593"/>
    </row>
    <row r="15" spans="1:7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  <c r="G15" s="593"/>
    </row>
    <row r="16" spans="1:7" ht="12.75">
      <c r="A16" s="36" t="s">
        <v>887</v>
      </c>
      <c r="B16" s="37"/>
      <c r="C16" s="441">
        <v>1800</v>
      </c>
      <c r="D16" s="587">
        <v>90</v>
      </c>
      <c r="E16" s="441"/>
      <c r="F16" s="443">
        <f t="shared" si="0"/>
        <v>1800</v>
      </c>
      <c r="G16" s="593"/>
    </row>
    <row r="17" spans="1:7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  <c r="G17" s="593"/>
    </row>
    <row r="18" spans="1:7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  <c r="G18" s="593"/>
    </row>
    <row r="19" spans="1:7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  <c r="G19" s="593"/>
    </row>
    <row r="20" spans="1:7" ht="12.75">
      <c r="A20" s="36" t="s">
        <v>875</v>
      </c>
      <c r="B20" s="37"/>
      <c r="C20" s="441">
        <f>429-356</f>
        <v>73</v>
      </c>
      <c r="D20" s="587">
        <v>99</v>
      </c>
      <c r="E20" s="441"/>
      <c r="F20" s="443">
        <f t="shared" si="0"/>
        <v>73</v>
      </c>
      <c r="G20" s="593"/>
    </row>
    <row r="21" spans="1:7" ht="12.75">
      <c r="A21" s="36" t="s">
        <v>876</v>
      </c>
      <c r="B21" s="37"/>
      <c r="C21" s="441"/>
      <c r="D21" s="587"/>
      <c r="E21" s="441"/>
      <c r="F21" s="443">
        <f t="shared" si="0"/>
        <v>0</v>
      </c>
      <c r="G21" s="593"/>
    </row>
    <row r="22" spans="1:7" ht="12.75">
      <c r="A22" s="36" t="s">
        <v>877</v>
      </c>
      <c r="B22" s="37"/>
      <c r="C22" s="441"/>
      <c r="D22" s="587"/>
      <c r="E22" s="441"/>
      <c r="F22" s="443">
        <f t="shared" si="0"/>
        <v>0</v>
      </c>
      <c r="G22" s="593"/>
    </row>
    <row r="23" spans="1:7" ht="12.75">
      <c r="A23" s="36" t="s">
        <v>878</v>
      </c>
      <c r="B23" s="37"/>
      <c r="C23" s="441">
        <v>1114</v>
      </c>
      <c r="D23" s="587">
        <v>100</v>
      </c>
      <c r="E23" s="441"/>
      <c r="F23" s="443">
        <f t="shared" si="0"/>
        <v>1114</v>
      </c>
      <c r="G23" s="593"/>
    </row>
    <row r="24" spans="1:7" ht="12.75">
      <c r="A24" s="36" t="s">
        <v>879</v>
      </c>
      <c r="B24" s="37"/>
      <c r="C24" s="441">
        <v>2050</v>
      </c>
      <c r="D24" s="587">
        <v>91.13</v>
      </c>
      <c r="E24" s="441"/>
      <c r="F24" s="443">
        <f t="shared" si="0"/>
        <v>2050</v>
      </c>
      <c r="G24" s="593"/>
    </row>
    <row r="25" spans="1:7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  <c r="G25" s="593"/>
    </row>
    <row r="26" spans="1:7" ht="12.75">
      <c r="A26" s="36" t="s">
        <v>881</v>
      </c>
      <c r="B26" s="37"/>
      <c r="C26" s="441">
        <f>5913-1300</f>
        <v>4613</v>
      </c>
      <c r="D26" s="587">
        <v>77.36</v>
      </c>
      <c r="E26" s="441"/>
      <c r="F26" s="443">
        <f t="shared" si="0"/>
        <v>4613</v>
      </c>
      <c r="G26" s="593"/>
    </row>
    <row r="27" spans="1:7" ht="12.75">
      <c r="A27" s="36" t="s">
        <v>888</v>
      </c>
      <c r="B27" s="37"/>
      <c r="C27" s="441">
        <v>60</v>
      </c>
      <c r="D27" s="587">
        <v>100</v>
      </c>
      <c r="E27" s="441"/>
      <c r="F27" s="443">
        <f t="shared" si="0"/>
        <v>60</v>
      </c>
      <c r="G27" s="593"/>
    </row>
    <row r="28" spans="1:16" ht="11.25" customHeight="1">
      <c r="A28" s="38" t="s">
        <v>565</v>
      </c>
      <c r="B28" s="39" t="s">
        <v>831</v>
      </c>
      <c r="C28" s="429">
        <f>SUM(C12:C27)</f>
        <v>16901</v>
      </c>
      <c r="D28" s="586"/>
      <c r="E28" s="429">
        <f>SUM(E12:E26)</f>
        <v>0</v>
      </c>
      <c r="F28" s="442">
        <f>SUM(F12:F27)</f>
        <v>16901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spans="1:6" ht="16.5" customHeight="1">
      <c r="A29" s="36" t="s">
        <v>832</v>
      </c>
      <c r="B29" s="40"/>
      <c r="C29" s="429"/>
      <c r="D29" s="586"/>
      <c r="E29" s="429"/>
      <c r="F29" s="442"/>
    </row>
    <row r="30" spans="1:6" ht="12.75">
      <c r="A30" s="36" t="s">
        <v>544</v>
      </c>
      <c r="B30" s="40"/>
      <c r="C30" s="441"/>
      <c r="D30" s="587"/>
      <c r="E30" s="441"/>
      <c r="F30" s="443">
        <f>C30-E30</f>
        <v>0</v>
      </c>
    </row>
    <row r="31" spans="1:6" ht="12.75">
      <c r="A31" s="36" t="s">
        <v>547</v>
      </c>
      <c r="B31" s="40"/>
      <c r="C31" s="441"/>
      <c r="D31" s="587"/>
      <c r="E31" s="441"/>
      <c r="F31" s="443">
        <f aca="true" t="shared" si="1" ref="F31:F44">C31-E31</f>
        <v>0</v>
      </c>
    </row>
    <row r="32" spans="1:6" ht="12.75">
      <c r="A32" s="36" t="s">
        <v>550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 t="s">
        <v>553</v>
      </c>
      <c r="B33" s="40"/>
      <c r="C33" s="441"/>
      <c r="D33" s="587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587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587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587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587"/>
      <c r="E44" s="441"/>
      <c r="F44" s="443">
        <f t="shared" si="1"/>
        <v>0</v>
      </c>
    </row>
    <row r="45" spans="1:16" ht="15" customHeight="1">
      <c r="A45" s="38" t="s">
        <v>582</v>
      </c>
      <c r="B45" s="39" t="s">
        <v>833</v>
      </c>
      <c r="C45" s="429">
        <f>SUM(C30:C44)</f>
        <v>0</v>
      </c>
      <c r="D45" s="586"/>
      <c r="E45" s="429">
        <f>SUM(E30:E44)</f>
        <v>0</v>
      </c>
      <c r="F45" s="442">
        <f>SUM(F30:F44)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2.75" customHeight="1">
      <c r="A46" s="36" t="s">
        <v>834</v>
      </c>
      <c r="B46" s="40"/>
      <c r="C46" s="429"/>
      <c r="D46" s="586"/>
      <c r="E46" s="429"/>
      <c r="F46" s="442"/>
    </row>
    <row r="47" spans="1:6" ht="12.75">
      <c r="A47" s="36" t="s">
        <v>885</v>
      </c>
      <c r="B47" s="40"/>
      <c r="C47" s="441">
        <v>4</v>
      </c>
      <c r="D47" s="587">
        <v>40</v>
      </c>
      <c r="E47" s="441"/>
      <c r="F47" s="443">
        <f>C47-E47</f>
        <v>4</v>
      </c>
    </row>
    <row r="48" spans="1:6" ht="12.75">
      <c r="A48" s="36" t="s">
        <v>886</v>
      </c>
      <c r="B48" s="40"/>
      <c r="C48" s="441"/>
      <c r="D48" s="587"/>
      <c r="E48" s="441"/>
      <c r="F48" s="443">
        <f aca="true" t="shared" si="2" ref="F48:F61">C48-E48</f>
        <v>0</v>
      </c>
    </row>
    <row r="49" spans="1:6" ht="12.75">
      <c r="A49" s="36" t="s">
        <v>550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 t="s">
        <v>553</v>
      </c>
      <c r="B50" s="40"/>
      <c r="C50" s="441"/>
      <c r="D50" s="587"/>
      <c r="E50" s="441"/>
      <c r="F50" s="443">
        <f t="shared" si="2"/>
        <v>0</v>
      </c>
    </row>
    <row r="51" spans="1:6" ht="12.75">
      <c r="A51" s="36">
        <v>5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6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587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587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587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587"/>
      <c r="E61" s="441"/>
      <c r="F61" s="443">
        <f t="shared" si="2"/>
        <v>0</v>
      </c>
    </row>
    <row r="62" spans="1:16" ht="12" customHeight="1">
      <c r="A62" s="38" t="s">
        <v>601</v>
      </c>
      <c r="B62" s="39" t="s">
        <v>835</v>
      </c>
      <c r="C62" s="429">
        <f>SUM(C47:C61)</f>
        <v>4</v>
      </c>
      <c r="D62" s="586"/>
      <c r="E62" s="429">
        <f>SUM(E47:E61)</f>
        <v>0</v>
      </c>
      <c r="F62" s="442">
        <f>SUM(F47:F61)</f>
        <v>4</v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</row>
    <row r="63" spans="1:6" ht="18.75" customHeight="1">
      <c r="A63" s="36" t="s">
        <v>836</v>
      </c>
      <c r="B63" s="40"/>
      <c r="C63" s="429"/>
      <c r="D63" s="586"/>
      <c r="E63" s="429"/>
      <c r="F63" s="442"/>
    </row>
    <row r="64" spans="1:6" ht="12.75">
      <c r="A64" s="36" t="s">
        <v>871</v>
      </c>
      <c r="B64" s="40"/>
      <c r="C64" s="441"/>
      <c r="D64" s="587"/>
      <c r="E64" s="441"/>
      <c r="F64" s="443">
        <f>C64-E64</f>
        <v>0</v>
      </c>
    </row>
    <row r="65" spans="1:6" ht="12.75">
      <c r="A65" s="36" t="s">
        <v>882</v>
      </c>
      <c r="B65" s="40"/>
      <c r="C65" s="441"/>
      <c r="D65" s="587"/>
      <c r="E65" s="441"/>
      <c r="F65" s="443">
        <f aca="true" t="shared" si="3" ref="F65:F78">C65-E65</f>
        <v>0</v>
      </c>
    </row>
    <row r="66" spans="1:6" ht="12.75">
      <c r="A66" s="36" t="s">
        <v>883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 t="s">
        <v>884</v>
      </c>
      <c r="B67" s="40"/>
      <c r="C67" s="441"/>
      <c r="D67" s="587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587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587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587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587"/>
      <c r="E78" s="441"/>
      <c r="F78" s="443">
        <f t="shared" si="3"/>
        <v>0</v>
      </c>
    </row>
    <row r="79" spans="1:16" ht="14.25" customHeight="1">
      <c r="A79" s="38" t="s">
        <v>837</v>
      </c>
      <c r="B79" s="39" t="s">
        <v>838</v>
      </c>
      <c r="C79" s="429">
        <f>SUM(C64:C78)</f>
        <v>0</v>
      </c>
      <c r="D79" s="586"/>
      <c r="E79" s="429">
        <f>SUM(E64:E78)</f>
        <v>0</v>
      </c>
      <c r="F79" s="442">
        <f>SUM(F64:F78)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0.25" customHeight="1">
      <c r="A80" s="41" t="s">
        <v>839</v>
      </c>
      <c r="B80" s="39" t="s">
        <v>840</v>
      </c>
      <c r="C80" s="429">
        <f>C79+C62+C45+C28</f>
        <v>16905</v>
      </c>
      <c r="D80" s="586"/>
      <c r="E80" s="429">
        <f>E79+E62+E45+E28</f>
        <v>0</v>
      </c>
      <c r="F80" s="442">
        <f>F79+F62+F45+F28</f>
        <v>16905</v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</row>
    <row r="81" spans="1:6" ht="15" customHeight="1">
      <c r="A81" s="34" t="s">
        <v>841</v>
      </c>
      <c r="B81" s="39"/>
      <c r="C81" s="429"/>
      <c r="D81" s="586"/>
      <c r="E81" s="429"/>
      <c r="F81" s="442"/>
    </row>
    <row r="82" spans="1:6" ht="14.25" customHeight="1">
      <c r="A82" s="36" t="s">
        <v>828</v>
      </c>
      <c r="B82" s="40"/>
      <c r="C82" s="429"/>
      <c r="D82" s="586"/>
      <c r="E82" s="429"/>
      <c r="F82" s="442"/>
    </row>
    <row r="83" spans="1:6" ht="12.75">
      <c r="A83" s="36" t="s">
        <v>829</v>
      </c>
      <c r="B83" s="40"/>
      <c r="C83" s="441"/>
      <c r="D83" s="587"/>
      <c r="E83" s="441"/>
      <c r="F83" s="443">
        <f>C83-E83</f>
        <v>0</v>
      </c>
    </row>
    <row r="84" spans="1:6" ht="12.75">
      <c r="A84" s="36" t="s">
        <v>830</v>
      </c>
      <c r="B84" s="40"/>
      <c r="C84" s="441"/>
      <c r="D84" s="587"/>
      <c r="E84" s="441"/>
      <c r="F84" s="443">
        <f aca="true" t="shared" si="4" ref="F84:F97">C84-E84</f>
        <v>0</v>
      </c>
    </row>
    <row r="85" spans="1:6" ht="12.75">
      <c r="A85" s="36" t="s">
        <v>550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 t="s">
        <v>553</v>
      </c>
      <c r="B86" s="40"/>
      <c r="C86" s="441"/>
      <c r="D86" s="587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587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587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587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587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587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587"/>
      <c r="E97" s="441"/>
      <c r="F97" s="443">
        <f t="shared" si="4"/>
        <v>0</v>
      </c>
    </row>
    <row r="98" spans="1:16" ht="15" customHeight="1">
      <c r="A98" s="38" t="s">
        <v>565</v>
      </c>
      <c r="B98" s="39" t="s">
        <v>842</v>
      </c>
      <c r="C98" s="429">
        <f>SUM(C83:C97)</f>
        <v>0</v>
      </c>
      <c r="D98" s="586"/>
      <c r="E98" s="429">
        <f>SUM(E83:E97)</f>
        <v>0</v>
      </c>
      <c r="F98" s="442">
        <f>SUM(F83:F97)</f>
        <v>0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</row>
    <row r="99" spans="1:6" ht="15.75" customHeight="1">
      <c r="A99" s="36" t="s">
        <v>832</v>
      </c>
      <c r="B99" s="40"/>
      <c r="C99" s="429"/>
      <c r="D99" s="586"/>
      <c r="E99" s="429"/>
      <c r="F99" s="442"/>
    </row>
    <row r="100" spans="1:6" ht="12.75">
      <c r="A100" s="36" t="s">
        <v>544</v>
      </c>
      <c r="B100" s="40"/>
      <c r="C100" s="441"/>
      <c r="D100" s="587"/>
      <c r="E100" s="441"/>
      <c r="F100" s="443">
        <f>C100-E100</f>
        <v>0</v>
      </c>
    </row>
    <row r="101" spans="1:6" ht="12.75">
      <c r="A101" s="36" t="s">
        <v>547</v>
      </c>
      <c r="B101" s="40"/>
      <c r="C101" s="441"/>
      <c r="D101" s="587"/>
      <c r="E101" s="441"/>
      <c r="F101" s="443">
        <f aca="true" t="shared" si="5" ref="F101:F114">C101-E101</f>
        <v>0</v>
      </c>
    </row>
    <row r="102" spans="1:6" ht="12.75">
      <c r="A102" s="36" t="s">
        <v>550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 t="s">
        <v>553</v>
      </c>
      <c r="B103" s="40"/>
      <c r="C103" s="441"/>
      <c r="D103" s="587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587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587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587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587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587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587"/>
      <c r="E114" s="441"/>
      <c r="F114" s="443">
        <f t="shared" si="5"/>
        <v>0</v>
      </c>
    </row>
    <row r="115" spans="1:16" ht="11.25" customHeight="1">
      <c r="A115" s="38" t="s">
        <v>582</v>
      </c>
      <c r="B115" s="39" t="s">
        <v>843</v>
      </c>
      <c r="C115" s="429">
        <f>SUM(C100:C114)</f>
        <v>0</v>
      </c>
      <c r="D115" s="586"/>
      <c r="E115" s="429">
        <f>SUM(E100:E114)</f>
        <v>0</v>
      </c>
      <c r="F115" s="442">
        <f>SUM(F100:F114)</f>
        <v>0</v>
      </c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</row>
    <row r="116" spans="1:6" ht="15" customHeight="1">
      <c r="A116" s="36" t="s">
        <v>834</v>
      </c>
      <c r="B116" s="40"/>
      <c r="C116" s="429"/>
      <c r="D116" s="586"/>
      <c r="E116" s="429"/>
      <c r="F116" s="442"/>
    </row>
    <row r="117" spans="1:6" ht="12.75">
      <c r="A117" s="36" t="s">
        <v>544</v>
      </c>
      <c r="B117" s="40"/>
      <c r="C117" s="441"/>
      <c r="D117" s="587"/>
      <c r="E117" s="441"/>
      <c r="F117" s="443">
        <f>C117-E117</f>
        <v>0</v>
      </c>
    </row>
    <row r="118" spans="1:6" ht="12.75">
      <c r="A118" s="36" t="s">
        <v>547</v>
      </c>
      <c r="B118" s="40"/>
      <c r="C118" s="441"/>
      <c r="D118" s="587"/>
      <c r="E118" s="441"/>
      <c r="F118" s="443">
        <f aca="true" t="shared" si="6" ref="F118:F131">C118-E118</f>
        <v>0</v>
      </c>
    </row>
    <row r="119" spans="1:6" ht="12.75">
      <c r="A119" s="36" t="s">
        <v>550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 t="s">
        <v>553</v>
      </c>
      <c r="B120" s="40"/>
      <c r="C120" s="441"/>
      <c r="D120" s="587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587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587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587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587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587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587"/>
      <c r="E131" s="441"/>
      <c r="F131" s="443">
        <f t="shared" si="6"/>
        <v>0</v>
      </c>
    </row>
    <row r="132" spans="1:16" ht="15.75" customHeight="1">
      <c r="A132" s="38" t="s">
        <v>601</v>
      </c>
      <c r="B132" s="39" t="s">
        <v>844</v>
      </c>
      <c r="C132" s="429">
        <f>SUM(C117:C131)</f>
        <v>0</v>
      </c>
      <c r="D132" s="586"/>
      <c r="E132" s="429">
        <f>SUM(E117:E131)</f>
        <v>0</v>
      </c>
      <c r="F132" s="442">
        <f>SUM(F117:F131)</f>
        <v>0</v>
      </c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</row>
    <row r="133" spans="1:6" ht="12.75" customHeight="1">
      <c r="A133" s="36" t="s">
        <v>836</v>
      </c>
      <c r="B133" s="40"/>
      <c r="C133" s="429"/>
      <c r="D133" s="586"/>
      <c r="E133" s="429"/>
      <c r="F133" s="442"/>
    </row>
    <row r="134" spans="1:6" ht="12.75">
      <c r="A134" s="36"/>
      <c r="B134" s="40"/>
      <c r="C134" s="441"/>
      <c r="D134" s="587"/>
      <c r="E134" s="441"/>
      <c r="F134" s="443">
        <f>C134-E134</f>
        <v>0</v>
      </c>
    </row>
    <row r="135" spans="1:6" ht="12.75">
      <c r="A135" s="36"/>
      <c r="B135" s="40"/>
      <c r="C135" s="441"/>
      <c r="D135" s="587"/>
      <c r="E135" s="441"/>
      <c r="F135" s="443">
        <f aca="true" t="shared" si="7" ref="F135:F148">C135-E135</f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40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.75">
      <c r="A141" s="36"/>
      <c r="B141" s="37"/>
      <c r="C141" s="441"/>
      <c r="D141" s="587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587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587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587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587"/>
      <c r="E148" s="441"/>
      <c r="F148" s="443">
        <f t="shared" si="7"/>
        <v>0</v>
      </c>
    </row>
    <row r="149" spans="1:16" ht="17.25" customHeight="1">
      <c r="A149" s="38" t="s">
        <v>837</v>
      </c>
      <c r="B149" s="39" t="s">
        <v>845</v>
      </c>
      <c r="C149" s="429">
        <f>SUM(C134:C148)</f>
        <v>0</v>
      </c>
      <c r="D149" s="586"/>
      <c r="E149" s="429">
        <f>SUM(E134:E148)</f>
        <v>0</v>
      </c>
      <c r="F149" s="442">
        <f>SUM(F134:F148)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16" ht="19.5" customHeight="1">
      <c r="A150" s="41" t="s">
        <v>846</v>
      </c>
      <c r="B150" s="39" t="s">
        <v>847</v>
      </c>
      <c r="C150" s="429">
        <f>C149+C132+C115+C98</f>
        <v>0</v>
      </c>
      <c r="D150" s="586"/>
      <c r="E150" s="429">
        <f>E149+E132+E115+E98</f>
        <v>0</v>
      </c>
      <c r="F150" s="442">
        <f>F149+F132+F115+F98</f>
        <v>0</v>
      </c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</row>
    <row r="151" spans="1:6" ht="19.5" customHeight="1">
      <c r="A151" s="42"/>
      <c r="B151" s="43"/>
      <c r="C151" s="44"/>
      <c r="D151" s="588"/>
      <c r="E151" s="44"/>
      <c r="F151" s="44"/>
    </row>
    <row r="152" spans="1:6" ht="12.75">
      <c r="A152" s="452" t="s">
        <v>890</v>
      </c>
      <c r="B152" s="453"/>
      <c r="C152" s="649" t="s">
        <v>848</v>
      </c>
      <c r="D152" s="649"/>
      <c r="E152" s="649"/>
      <c r="F152" s="649"/>
    </row>
    <row r="153" spans="1:6" ht="12.75">
      <c r="A153" s="516"/>
      <c r="B153" s="517"/>
      <c r="C153" s="516"/>
      <c r="D153" s="589"/>
      <c r="E153" s="516"/>
      <c r="F153" s="516"/>
    </row>
    <row r="154" spans="1:6" ht="12.75">
      <c r="A154" s="516"/>
      <c r="B154" s="517"/>
      <c r="C154" s="649" t="s">
        <v>856</v>
      </c>
      <c r="D154" s="649"/>
      <c r="E154" s="649"/>
      <c r="F154" s="649"/>
    </row>
    <row r="155" spans="3:5" ht="12.75">
      <c r="C155" s="516"/>
      <c r="E155" s="516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47:F61 C64:F78 C83:F97 C100:F114 C117:F131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20 C26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</cp:lastModifiedBy>
  <cp:lastPrinted>2012-12-15T09:06:44Z</cp:lastPrinted>
  <dcterms:created xsi:type="dcterms:W3CDTF">2000-06-29T12:02:40Z</dcterms:created>
  <dcterms:modified xsi:type="dcterms:W3CDTF">2012-12-15T09:06:51Z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