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599" firstSheet="1" activeTab="3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externalReferences>
    <externalReference r:id="rId7"/>
  </externalReferences>
  <definedNames>
    <definedName name="_xlnm.Print_Area" localSheetId="3">'справка № 4-КИС-ОСК'!$A$1:$H$41</definedName>
    <definedName name="_xlnm.Print_Titles" localSheetId="0">'справка № 1-КИС-БАЛАНС'!$7:$7</definedName>
    <definedName name="_xlnm.Print_Titles" localSheetId="1">'справка № 2-КИС-ОД'!$8:$8</definedName>
    <definedName name="_xlnm.Print_Titles" localSheetId="2">'справка № 3-КИС-ОПП'!$9:$9</definedName>
    <definedName name="_xlnm.Print_Titles" localSheetId="3">'справка № 4-КИС-ОСК'!$12:$12</definedName>
  </definedNames>
  <calcPr fullCalcOnLoad="1"/>
</workbook>
</file>

<file path=xl/sharedStrings.xml><?xml version="1.0" encoding="utf-8"?>
<sst xmlns="http://schemas.openxmlformats.org/spreadsheetml/2006/main" count="227" uniqueCount="194">
  <si>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</si>
  <si>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</si>
  <si>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</si>
  <si>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</si>
  <si>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</si>
  <si>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</si>
  <si>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</si>
  <si>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</si>
  <si>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</si>
  <si>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</si>
  <si>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</si>
  <si>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</si>
  <si>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</si>
  <si>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</si>
  <si>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</si>
  <si>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</si>
  <si>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</si>
  <si>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</si>
  <si>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</si>
  <si>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</si>
  <si>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</si>
  <si>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</si>
  <si>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</si>
  <si>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</si>
  <si>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</si>
  <si>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</si>
  <si>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</si>
  <si>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</si>
  <si>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</si>
  <si>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</si>
  <si>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</si>
  <si>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</si>
  <si>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</si>
  <si>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</si>
  <si>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</si>
  <si>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</si>
  <si>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</si>
  <si>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</si>
  <si>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</si>
  <si>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</si>
  <si>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</si>
  <si>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</si>
  <si>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</si>
  <si>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</si>
  <si>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</si>
  <si>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</si>
  <si>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</si>
  <si>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</si>
  <si>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</si>
  <si>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</si>
  <si>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</si>
  <si>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</si>
  <si>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</si>
  <si>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</si>
  <si>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</si>
  <si>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</si>
  <si>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</si>
  <si>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</si>
  <si>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</si>
  <si>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</si>
  <si>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</si>
  <si>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</si>
  <si>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</si>
  <si>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</si>
  <si>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</si>
  <si>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</si>
  <si>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</si>
  <si>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</si>
  <si>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</si>
  <si>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</si>
  <si>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</si>
  <si>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</si>
  <si>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</si>
  <si>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</si>
  <si>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</si>
  <si>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</si>
  <si>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</si>
  <si>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</si>
  <si>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</si>
  <si>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</si>
  <si>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 xml:space="preserve">Съставител: …………...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</si>
  <si>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</si>
  <si>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</si>
  <si>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</si>
  <si>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</si>
  <si>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</si>
  <si>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</si>
  <si>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</si>
  <si>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</si>
  <si>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</si>
  <si>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</si>
  <si>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</si>
  <si>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</si>
  <si>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</si>
  <si>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</si>
  <si>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</si>
  <si>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</si>
  <si>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Ръководител:………………………</t>
  </si>
  <si>
    <t>Съставител: ………………….</t>
  </si>
  <si>
    <t>Ръководител:…………………..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</si>
  <si>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</si>
  <si>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</si>
  <si>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</si>
  <si>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</si>
  <si>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</si>
  <si>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</si>
  <si>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</si>
  <si>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</si>
  <si>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</si>
  <si>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</si>
  <si>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</si>
  <si>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</si>
  <si>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</si>
  <si>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</si>
  <si>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</si>
  <si>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</si>
  <si>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</si>
  <si>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</si>
  <si>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</si>
  <si>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</si>
  <si>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</si>
  <si>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</si>
  <si>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</si>
  <si>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</si>
  <si>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t>Други парични потоци от основна дейност</t>
  </si>
  <si>
    <t>Парични потоци, свързани с други контрагенти</t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</si>
  <si>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</si>
  <si>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</si>
  <si>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</si>
  <si>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</si>
  <si>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</si>
  <si>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</si>
  <si>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</si>
  <si>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</si>
  <si>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</si>
  <si>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</si>
  <si>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</si>
  <si>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</si>
  <si>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</si>
  <si>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</si>
  <si>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</si>
  <si>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</si>
  <si>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</si>
  <si>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</si>
  <si>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</si>
  <si>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</si>
  <si>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</si>
  <si>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</si>
  <si>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</si>
  <si>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</si>
  <si>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</si>
  <si>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</si>
  <si>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</si>
  <si>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</si>
  <si>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</si>
  <si>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</si>
  <si>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</si>
  <si>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</si>
  <si>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</si>
  <si>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</si>
  <si>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</si>
  <si>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</si>
  <si>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</si>
  <si>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</si>
  <si>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</si>
  <si>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</si>
  <si>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</si>
  <si>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</si>
  <si>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</si>
  <si>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</si>
  <si>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</si>
  <si>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</si>
  <si>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</si>
  <si>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 Ръководител:....................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</si>
  <si>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</si>
  <si>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</si>
  <si>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</si>
  <si>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В. Загуба преди облагане с данъци</t>
  </si>
  <si>
    <t>ВСИЧКО (Б+Г)</t>
  </si>
  <si>
    <t>/Eлеонора Стоева/</t>
  </si>
  <si>
    <t>Всичко парични потоци от неспециализирана дейност(В):</t>
  </si>
  <si>
    <t>1. Разходи за материали</t>
  </si>
  <si>
    <t xml:space="preserve">В. Печалба преди облагане с данъци </t>
  </si>
  <si>
    <t>ВСИЧКО (Б+III+Г)</t>
  </si>
  <si>
    <t>Емитиране и обратно изкупуване на акции/дялове</t>
  </si>
  <si>
    <t>Други парични потоци от неспециализирана дейност</t>
  </si>
  <si>
    <t>/Стоян Тошев/</t>
  </si>
  <si>
    <t>ЕИК по БУЛСТАТ: 131569431</t>
  </si>
  <si>
    <t>Наименование на КИС:ТИ БИ АЙ КОМФОРТ ДФ</t>
  </si>
  <si>
    <t>Съставител:</t>
  </si>
  <si>
    <t>Ръководител:</t>
  </si>
  <si>
    <t>/Елеонора Стоева/</t>
  </si>
  <si>
    <t>Отчетен период: 31.03.2009г.</t>
  </si>
  <si>
    <t>Дата:21.04.2009г.</t>
  </si>
</sst>
</file>

<file path=xl/styles.xml><?xml version="1.0" encoding="utf-8"?>
<styleSheet xmlns="http://schemas.openxmlformats.org/spreadsheetml/2006/main">
  <numFmts count="3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;\(0\)"/>
    <numFmt numFmtId="181" formatCode="_-* #,##0.0\ _л_в_-;\-* #,##0.0\ _л_в_-;_-* &quot;-&quot;?\ _л_в_-;_-@_-"/>
    <numFmt numFmtId="182" formatCode="#,##0.0"/>
    <numFmt numFmtId="183" formatCode="#,##0.000"/>
    <numFmt numFmtId="184" formatCode="#,##0.0000"/>
    <numFmt numFmtId="185" formatCode="#,##0.00000"/>
    <numFmt numFmtId="186" formatCode="#,##0.000000"/>
    <numFmt numFmtId="187" formatCode="#,##0.00_ ;\-#,##0.00\ "/>
    <numFmt numFmtId="188" formatCode="0.0000"/>
    <numFmt numFmtId="189" formatCode="0.0"/>
    <numFmt numFmtId="190" formatCode="00000"/>
    <numFmt numFmtId="191" formatCode="0.00;[Red]0.00"/>
    <numFmt numFmtId="192" formatCode="#,##0.00\ &quot;лв&quot;;[Red]#,##0.00\ &quot;лв&quot;"/>
    <numFmt numFmtId="193" formatCode="#,##0.00;[Red]#,##0.00"/>
    <numFmt numFmtId="194" formatCode="[$-402]dddd\,\ dd\ mmmm\ yyyy"/>
  </numFmts>
  <fonts count="12">
    <font>
      <sz val="10"/>
      <name val="Arial"/>
      <family val="0"/>
    </font>
    <font>
      <sz val="10"/>
      <name val="Timok"/>
      <family val="0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sz val="9"/>
      <color indexed="10"/>
      <name val="Times New Roman"/>
      <family val="1"/>
    </font>
    <font>
      <b/>
      <strike/>
      <sz val="9"/>
      <name val="Times New Roman"/>
      <family val="1"/>
    </font>
    <font>
      <strike/>
      <sz val="9"/>
      <name val="Times New Roman"/>
      <family val="1"/>
    </font>
    <font>
      <b/>
      <sz val="10"/>
      <name val="Times New Roman Cyr"/>
      <family val="1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21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2" fillId="0" borderId="0" xfId="24" applyFont="1" applyFill="1" applyAlignment="1">
      <alignment horizontal="left" vertical="justify" wrapText="1"/>
      <protection/>
    </xf>
    <xf numFmtId="0" fontId="2" fillId="0" borderId="0" xfId="21" applyFont="1" applyFill="1" applyBorder="1" applyAlignment="1" applyProtection="1">
      <alignment horizontal="left" vertical="justify" wrapText="1"/>
      <protection locked="0"/>
    </xf>
    <xf numFmtId="0" fontId="2" fillId="0" borderId="1" xfId="21" applyFont="1" applyFill="1" applyBorder="1" applyAlignment="1" applyProtection="1">
      <alignment horizontal="left" vertical="justify" wrapText="1"/>
      <protection locked="0"/>
    </xf>
    <xf numFmtId="0" fontId="2" fillId="0" borderId="0" xfId="0" applyFont="1" applyAlignment="1">
      <alignment/>
    </xf>
    <xf numFmtId="0" fontId="3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0" xfId="21" applyFont="1" applyBorder="1" applyAlignment="1" applyProtection="1">
      <alignment horizontal="center" vertical="center" wrapText="1"/>
      <protection locked="0"/>
    </xf>
    <xf numFmtId="0" fontId="2" fillId="0" borderId="0" xfId="21" applyFont="1" applyBorder="1" applyAlignment="1" applyProtection="1">
      <alignment horizontal="left" vertical="center" wrapText="1"/>
      <protection locked="0"/>
    </xf>
    <xf numFmtId="0" fontId="2" fillId="0" borderId="0" xfId="22" applyFont="1" applyAlignment="1" applyProtection="1">
      <alignment horizontal="center" vertical="center" wrapText="1"/>
      <protection locked="0"/>
    </xf>
    <xf numFmtId="0" fontId="2" fillId="0" borderId="2" xfId="21" applyFont="1" applyBorder="1" applyAlignment="1" applyProtection="1">
      <alignment horizontal="center" vertical="center" wrapText="1"/>
      <protection/>
    </xf>
    <xf numFmtId="49" fontId="2" fillId="0" borderId="2" xfId="21" applyNumberFormat="1" applyFont="1" applyBorder="1" applyAlignment="1" applyProtection="1">
      <alignment horizontal="center" vertical="center" wrapText="1"/>
      <protection/>
    </xf>
    <xf numFmtId="0" fontId="2" fillId="2" borderId="2" xfId="21" applyFont="1" applyFill="1" applyBorder="1" applyAlignment="1" applyProtection="1">
      <alignment horizontal="left" vertical="top" wrapText="1"/>
      <protection/>
    </xf>
    <xf numFmtId="0" fontId="2" fillId="0" borderId="2" xfId="0" applyFont="1" applyBorder="1" applyAlignment="1">
      <alignment horizontal="right" wrapText="1"/>
    </xf>
    <xf numFmtId="0" fontId="2" fillId="0" borderId="2" xfId="0" applyFont="1" applyBorder="1" applyAlignment="1">
      <alignment horizontal="right"/>
    </xf>
    <xf numFmtId="0" fontId="7" fillId="0" borderId="2" xfId="0" applyFont="1" applyBorder="1" applyAlignment="1">
      <alignment/>
    </xf>
    <xf numFmtId="0" fontId="3" fillId="0" borderId="2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Alignment="1">
      <alignment/>
    </xf>
    <xf numFmtId="3" fontId="2" fillId="0" borderId="2" xfId="21" applyNumberFormat="1" applyFont="1" applyBorder="1" applyAlignment="1" applyProtection="1">
      <alignment horizontal="center" vertical="center" wrapText="1"/>
      <protection/>
    </xf>
    <xf numFmtId="3" fontId="3" fillId="0" borderId="2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2" fillId="0" borderId="0" xfId="21" applyNumberFormat="1" applyFont="1" applyBorder="1" applyAlignment="1" applyProtection="1">
      <alignment vertical="top" wrapText="1"/>
      <protection locked="0"/>
    </xf>
    <xf numFmtId="0" fontId="2" fillId="0" borderId="0" xfId="0" applyFont="1" applyAlignment="1">
      <alignment horizontal="left"/>
    </xf>
    <xf numFmtId="0" fontId="3" fillId="0" borderId="0" xfId="21" applyFont="1" applyAlignment="1" applyProtection="1">
      <alignment horizontal="right" vertical="top"/>
      <protection locked="0"/>
    </xf>
    <xf numFmtId="0" fontId="2" fillId="0" borderId="0" xfId="23" applyFont="1" applyBorder="1" applyAlignment="1" applyProtection="1">
      <alignment horizontal="center" vertical="center" wrapText="1"/>
      <protection/>
    </xf>
    <xf numFmtId="0" fontId="3" fillId="0" borderId="0" xfId="23" applyFont="1" applyBorder="1" applyAlignment="1" applyProtection="1">
      <alignment wrapText="1"/>
      <protection locked="0"/>
    </xf>
    <xf numFmtId="0" fontId="2" fillId="0" borderId="2" xfId="23" applyFont="1" applyBorder="1" applyAlignment="1" applyProtection="1">
      <alignment horizontal="center" vertical="center" wrapText="1"/>
      <protection/>
    </xf>
    <xf numFmtId="0" fontId="2" fillId="0" borderId="2" xfId="23" applyFont="1" applyBorder="1" applyAlignment="1" applyProtection="1">
      <alignment vertical="center" wrapText="1"/>
      <protection/>
    </xf>
    <xf numFmtId="0" fontId="3" fillId="3" borderId="2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8" fillId="0" borderId="0" xfId="0" applyFont="1" applyBorder="1" applyAlignment="1">
      <alignment horizontal="right" wrapText="1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horizontal="left" vertical="center" wrapText="1"/>
    </xf>
    <xf numFmtId="0" fontId="2" fillId="0" borderId="0" xfId="22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>
      <alignment horizontal="center" vertical="center"/>
    </xf>
    <xf numFmtId="3" fontId="3" fillId="0" borderId="0" xfId="21" applyNumberFormat="1" applyFont="1" applyFill="1" applyAlignment="1" applyProtection="1">
      <alignment vertical="top" wrapText="1"/>
      <protection locked="0"/>
    </xf>
    <xf numFmtId="3" fontId="2" fillId="0" borderId="0" xfId="21" applyNumberFormat="1" applyFont="1" applyFill="1" applyBorder="1" applyAlignment="1" applyProtection="1">
      <alignment vertical="top" wrapText="1"/>
      <protection locked="0"/>
    </xf>
    <xf numFmtId="3" fontId="2" fillId="0" borderId="0" xfId="22" applyNumberFormat="1" applyFont="1" applyFill="1" applyBorder="1" applyAlignment="1" applyProtection="1">
      <alignment horizontal="right" vertical="center" wrapText="1"/>
      <protection locked="0"/>
    </xf>
    <xf numFmtId="3" fontId="2" fillId="0" borderId="0" xfId="0" applyNumberFormat="1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/>
    </xf>
    <xf numFmtId="0" fontId="2" fillId="3" borderId="2" xfId="0" applyFont="1" applyFill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0" fontId="2" fillId="0" borderId="2" xfId="24" applyFont="1" applyFill="1" applyBorder="1" applyAlignment="1">
      <alignment horizontal="center" vertical="justify" wrapText="1"/>
      <protection/>
    </xf>
    <xf numFmtId="0" fontId="2" fillId="0" borderId="2" xfId="24" applyFont="1" applyFill="1" applyBorder="1" applyAlignment="1">
      <alignment horizontal="left" vertical="justify" wrapText="1"/>
      <protection/>
    </xf>
    <xf numFmtId="0" fontId="3" fillId="0" borderId="2" xfId="24" applyFont="1" applyFill="1" applyBorder="1" applyAlignment="1">
      <alignment horizontal="left" vertical="justify" wrapText="1"/>
      <protection/>
    </xf>
    <xf numFmtId="0" fontId="2" fillId="3" borderId="2" xfId="24" applyFont="1" applyFill="1" applyBorder="1" applyAlignment="1">
      <alignment horizontal="left" vertical="justify" wrapText="1"/>
      <protection/>
    </xf>
    <xf numFmtId="0" fontId="3" fillId="0" borderId="0" xfId="24" applyFont="1" applyFill="1" applyBorder="1" applyAlignment="1" applyProtection="1">
      <alignment horizontal="left" wrapText="1"/>
      <protection locked="0"/>
    </xf>
    <xf numFmtId="3" fontId="3" fillId="0" borderId="0" xfId="24" applyNumberFormat="1" applyFont="1" applyFill="1" applyBorder="1" applyAlignment="1" applyProtection="1">
      <alignment horizontal="left" vertical="justify"/>
      <protection/>
    </xf>
    <xf numFmtId="0" fontId="2" fillId="0" borderId="0" xfId="24" applyFont="1" applyFill="1" applyBorder="1" applyAlignment="1" applyProtection="1">
      <alignment horizontal="left" vertical="justify" wrapText="1"/>
      <protection locked="0"/>
    </xf>
    <xf numFmtId="3" fontId="3" fillId="0" borderId="0" xfId="24" applyNumberFormat="1" applyFont="1" applyFill="1" applyBorder="1" applyAlignment="1" applyProtection="1">
      <alignment horizontal="left" vertical="justify"/>
      <protection locked="0"/>
    </xf>
    <xf numFmtId="3" fontId="3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 wrapText="1"/>
    </xf>
    <xf numFmtId="3" fontId="3" fillId="0" borderId="0" xfId="0" applyNumberFormat="1" applyFont="1" applyFill="1" applyAlignment="1">
      <alignment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2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3" fontId="2" fillId="0" borderId="0" xfId="23" applyNumberFormat="1" applyFont="1" applyAlignment="1" applyProtection="1">
      <alignment horizontal="right"/>
      <protection locked="0"/>
    </xf>
    <xf numFmtId="3" fontId="2" fillId="0" borderId="2" xfId="23" applyNumberFormat="1" applyFont="1" applyBorder="1" applyAlignment="1" applyProtection="1">
      <alignment horizontal="center" vertical="center" wrapText="1"/>
      <protection/>
    </xf>
    <xf numFmtId="3" fontId="2" fillId="0" borderId="0" xfId="23" applyNumberFormat="1" applyFont="1" applyBorder="1" applyAlignment="1" applyProtection="1">
      <alignment horizontal="right" vertical="center" wrapText="1"/>
      <protection locked="0"/>
    </xf>
    <xf numFmtId="3" fontId="3" fillId="0" borderId="0" xfId="23" applyNumberFormat="1" applyFont="1" applyBorder="1" applyAlignment="1" applyProtection="1">
      <alignment horizontal="right"/>
      <protection locked="0"/>
    </xf>
    <xf numFmtId="3" fontId="2" fillId="0" borderId="2" xfId="23" applyNumberFormat="1" applyFont="1" applyBorder="1" applyAlignment="1" applyProtection="1">
      <alignment horizontal="right" vertical="center"/>
      <protection/>
    </xf>
    <xf numFmtId="3" fontId="3" fillId="0" borderId="0" xfId="23" applyNumberFormat="1" applyFont="1" applyAlignment="1" applyProtection="1">
      <alignment horizontal="right"/>
      <protection locked="0"/>
    </xf>
    <xf numFmtId="3" fontId="3" fillId="0" borderId="2" xfId="23" applyNumberFormat="1" applyFont="1" applyBorder="1" applyAlignment="1" applyProtection="1">
      <alignment horizontal="right"/>
      <protection/>
    </xf>
    <xf numFmtId="3" fontId="2" fillId="0" borderId="2" xfId="24" applyNumberFormat="1" applyFont="1" applyFill="1" applyBorder="1" applyAlignment="1">
      <alignment horizontal="center" vertical="justify" wrapText="1"/>
      <protection/>
    </xf>
    <xf numFmtId="0" fontId="3" fillId="0" borderId="0" xfId="21" applyFont="1" applyAlignment="1" applyProtection="1">
      <alignment vertical="center" wrapText="1"/>
      <protection locked="0"/>
    </xf>
    <xf numFmtId="3" fontId="6" fillId="0" borderId="0" xfId="0" applyNumberFormat="1" applyFont="1" applyFill="1" applyAlignment="1">
      <alignment vertical="center"/>
    </xf>
    <xf numFmtId="3" fontId="2" fillId="0" borderId="0" xfId="24" applyNumberFormat="1" applyFont="1" applyFill="1" applyAlignment="1">
      <alignment horizontal="left" vertical="justify"/>
      <protection/>
    </xf>
    <xf numFmtId="3" fontId="3" fillId="0" borderId="0" xfId="24" applyNumberFormat="1" applyFont="1" applyFill="1" applyAlignment="1">
      <alignment horizontal="left" vertical="justify"/>
      <protection/>
    </xf>
    <xf numFmtId="3" fontId="2" fillId="0" borderId="0" xfId="21" applyNumberFormat="1" applyFont="1" applyFill="1" applyBorder="1" applyAlignment="1" applyProtection="1">
      <alignment horizontal="left" vertical="justify" wrapText="1"/>
      <protection locked="0"/>
    </xf>
    <xf numFmtId="3" fontId="2" fillId="0" borderId="0" xfId="24" applyNumberFormat="1" applyFont="1" applyFill="1" applyBorder="1" applyAlignment="1" applyProtection="1">
      <alignment horizontal="left" vertical="justify" wrapText="1"/>
      <protection/>
    </xf>
    <xf numFmtId="3" fontId="3" fillId="0" borderId="0" xfId="21" applyNumberFormat="1" applyFont="1" applyFill="1" applyAlignment="1" applyProtection="1">
      <alignment horizontal="left" vertical="justify" wrapText="1"/>
      <protection locked="0"/>
    </xf>
    <xf numFmtId="3" fontId="2" fillId="0" borderId="1" xfId="21" applyNumberFormat="1" applyFont="1" applyFill="1" applyBorder="1" applyAlignment="1" applyProtection="1">
      <alignment horizontal="left" vertical="justify" wrapText="1"/>
      <protection locked="0"/>
    </xf>
    <xf numFmtId="3" fontId="2" fillId="0" borderId="0" xfId="24" applyNumberFormat="1" applyFont="1" applyFill="1" applyBorder="1" applyAlignment="1">
      <alignment horizontal="left" vertical="justify" wrapText="1"/>
      <protection/>
    </xf>
    <xf numFmtId="3" fontId="2" fillId="0" borderId="0" xfId="22" applyNumberFormat="1" applyFont="1" applyFill="1" applyAlignment="1">
      <alignment horizontal="center" vertical="justify" wrapText="1"/>
      <protection/>
    </xf>
    <xf numFmtId="3" fontId="2" fillId="0" borderId="0" xfId="24" applyNumberFormat="1" applyFont="1" applyFill="1" applyBorder="1" applyAlignment="1" applyProtection="1">
      <alignment horizontal="left" wrapText="1"/>
      <protection locked="0"/>
    </xf>
    <xf numFmtId="3" fontId="3" fillId="0" borderId="0" xfId="24" applyNumberFormat="1" applyFont="1" applyFill="1" applyBorder="1" applyAlignment="1" applyProtection="1">
      <alignment horizontal="left"/>
      <protection locked="0"/>
    </xf>
    <xf numFmtId="3" fontId="2" fillId="0" borderId="0" xfId="24" applyNumberFormat="1" applyFont="1" applyFill="1" applyBorder="1" applyAlignment="1" applyProtection="1">
      <alignment horizontal="left"/>
      <protection locked="0"/>
    </xf>
    <xf numFmtId="3" fontId="3" fillId="0" borderId="0" xfId="24" applyNumberFormat="1" applyFont="1" applyFill="1" applyBorder="1" applyAlignment="1" applyProtection="1">
      <alignment/>
      <protection locked="0"/>
    </xf>
    <xf numFmtId="3" fontId="2" fillId="0" borderId="2" xfId="24" applyNumberFormat="1" applyFont="1" applyFill="1" applyBorder="1" applyAlignment="1">
      <alignment horizontal="right" vertical="justify" wrapText="1"/>
      <protection/>
    </xf>
    <xf numFmtId="3" fontId="2" fillId="0" borderId="2" xfId="24" applyNumberFormat="1" applyFont="1" applyFill="1" applyBorder="1" applyAlignment="1" applyProtection="1">
      <alignment horizontal="right" vertical="justify"/>
      <protection/>
    </xf>
    <xf numFmtId="3" fontId="3" fillId="0" borderId="2" xfId="24" applyNumberFormat="1" applyFont="1" applyFill="1" applyBorder="1" applyAlignment="1" applyProtection="1">
      <alignment horizontal="right" vertical="justify"/>
      <protection/>
    </xf>
    <xf numFmtId="3" fontId="3" fillId="0" borderId="2" xfId="24" applyNumberFormat="1" applyFont="1" applyFill="1" applyBorder="1" applyAlignment="1" applyProtection="1">
      <alignment horizontal="right" vertical="justify"/>
      <protection locked="0"/>
    </xf>
    <xf numFmtId="3" fontId="2" fillId="0" borderId="2" xfId="24" applyNumberFormat="1" applyFont="1" applyFill="1" applyBorder="1" applyAlignment="1" applyProtection="1">
      <alignment horizontal="right" vertical="justify"/>
      <protection locked="0"/>
    </xf>
    <xf numFmtId="0" fontId="2" fillId="0" borderId="3" xfId="0" applyFont="1" applyBorder="1" applyAlignment="1">
      <alignment wrapText="1"/>
    </xf>
    <xf numFmtId="0" fontId="2" fillId="0" borderId="0" xfId="0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3" fontId="2" fillId="0" borderId="2" xfId="0" applyNumberFormat="1" applyFont="1" applyBorder="1" applyAlignment="1">
      <alignment wrapText="1"/>
    </xf>
    <xf numFmtId="3" fontId="2" fillId="0" borderId="2" xfId="0" applyNumberFormat="1" applyFont="1" applyBorder="1" applyAlignment="1">
      <alignment/>
    </xf>
    <xf numFmtId="3" fontId="10" fillId="0" borderId="2" xfId="0" applyNumberFormat="1" applyFont="1" applyFill="1" applyBorder="1" applyAlignment="1" applyProtection="1">
      <alignment/>
      <protection hidden="1"/>
    </xf>
    <xf numFmtId="3" fontId="10" fillId="0" borderId="2" xfId="0" applyNumberFormat="1" applyFont="1" applyFill="1" applyBorder="1" applyAlignment="1" applyProtection="1">
      <alignment horizontal="right"/>
      <protection hidden="1"/>
    </xf>
    <xf numFmtId="3" fontId="3" fillId="0" borderId="2" xfId="0" applyNumberFormat="1" applyFont="1" applyFill="1" applyBorder="1" applyAlignment="1">
      <alignment/>
    </xf>
    <xf numFmtId="0" fontId="3" fillId="0" borderId="0" xfId="0" applyFont="1" applyBorder="1" applyAlignment="1">
      <alignment horizontal="right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3" fontId="11" fillId="0" borderId="0" xfId="0" applyNumberFormat="1" applyFont="1" applyAlignment="1">
      <alignment/>
    </xf>
    <xf numFmtId="0" fontId="6" fillId="0" borderId="0" xfId="0" applyFont="1" applyAlignment="1">
      <alignment vertical="center" wrapText="1"/>
    </xf>
    <xf numFmtId="3" fontId="3" fillId="0" borderId="0" xfId="21" applyNumberFormat="1" applyFont="1" applyAlignment="1" applyProtection="1">
      <alignment horizontal="center" vertical="center" wrapText="1"/>
      <protection locked="0"/>
    </xf>
    <xf numFmtId="3" fontId="3" fillId="0" borderId="0" xfId="0" applyNumberFormat="1" applyFont="1" applyAlignment="1">
      <alignment vertical="center" wrapText="1"/>
    </xf>
    <xf numFmtId="3" fontId="11" fillId="0" borderId="0" xfId="0" applyNumberFormat="1" applyFont="1" applyBorder="1" applyAlignment="1">
      <alignment wrapText="1"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Alignment="1">
      <alignment wrapText="1"/>
    </xf>
    <xf numFmtId="3" fontId="3" fillId="0" borderId="0" xfId="0" applyNumberFormat="1" applyFont="1" applyAlignment="1">
      <alignment wrapText="1"/>
    </xf>
    <xf numFmtId="3" fontId="11" fillId="0" borderId="2" xfId="0" applyNumberFormat="1" applyFont="1" applyBorder="1" applyAlignment="1">
      <alignment/>
    </xf>
    <xf numFmtId="0" fontId="2" fillId="0" borderId="0" xfId="21" applyFont="1" applyBorder="1" applyAlignment="1" applyProtection="1">
      <alignment horizontal="left" vertical="center" wrapText="1"/>
      <protection locked="0"/>
    </xf>
    <xf numFmtId="0" fontId="2" fillId="0" borderId="0" xfId="21" applyFont="1" applyBorder="1" applyAlignment="1" applyProtection="1">
      <alignment horizontal="center" vertical="center" wrapText="1"/>
      <protection locked="0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left" vertical="center" wrapText="1"/>
    </xf>
    <xf numFmtId="3" fontId="6" fillId="0" borderId="0" xfId="0" applyNumberFormat="1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22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left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3" fillId="0" borderId="0" xfId="21" applyNumberFormat="1" applyFont="1" applyFill="1" applyAlignment="1" applyProtection="1">
      <alignment horizontal="left" vertical="top"/>
      <protection locked="0"/>
    </xf>
    <xf numFmtId="3" fontId="2" fillId="0" borderId="4" xfId="24" applyNumberFormat="1" applyFont="1" applyFill="1" applyBorder="1" applyAlignment="1">
      <alignment horizontal="center" vertical="center" wrapText="1"/>
      <protection/>
    </xf>
    <xf numFmtId="3" fontId="2" fillId="0" borderId="5" xfId="24" applyNumberFormat="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 applyProtection="1">
      <alignment horizontal="left" vertical="justify" wrapText="1"/>
      <protection locked="0"/>
    </xf>
    <xf numFmtId="0" fontId="2" fillId="0" borderId="4" xfId="24" applyFont="1" applyFill="1" applyBorder="1" applyAlignment="1">
      <alignment horizontal="center" vertical="center" wrapText="1"/>
      <protection/>
    </xf>
    <xf numFmtId="0" fontId="2" fillId="0" borderId="6" xfId="24" applyFont="1" applyFill="1" applyBorder="1" applyAlignment="1">
      <alignment horizontal="center" vertical="center" wrapText="1"/>
      <protection/>
    </xf>
    <xf numFmtId="0" fontId="3" fillId="0" borderId="5" xfId="0" applyFont="1" applyBorder="1" applyAlignment="1">
      <alignment horizontal="center" vertical="center" wrapText="1"/>
    </xf>
    <xf numFmtId="0" fontId="2" fillId="0" borderId="0" xfId="24" applyFont="1" applyFill="1" applyAlignment="1">
      <alignment horizontal="center" vertical="justify" wrapText="1"/>
      <protection/>
    </xf>
    <xf numFmtId="3" fontId="2" fillId="0" borderId="7" xfId="24" applyNumberFormat="1" applyFont="1" applyFill="1" applyBorder="1" applyAlignment="1">
      <alignment horizontal="center" vertical="center" wrapText="1"/>
      <protection/>
    </xf>
    <xf numFmtId="3" fontId="2" fillId="0" borderId="8" xfId="24" applyNumberFormat="1" applyFont="1" applyFill="1" applyBorder="1" applyAlignment="1">
      <alignment horizontal="center" vertical="center" wrapText="1"/>
      <protection/>
    </xf>
    <xf numFmtId="3" fontId="2" fillId="0" borderId="6" xfId="24" applyNumberFormat="1" applyFont="1" applyFill="1" applyBorder="1" applyAlignment="1">
      <alignment horizontal="center" vertical="center" wrapText="1"/>
      <protection/>
    </xf>
    <xf numFmtId="3" fontId="2" fillId="0" borderId="4" xfId="24" applyNumberFormat="1" applyFont="1" applyFill="1" applyBorder="1" applyAlignment="1">
      <alignment horizontal="center" vertical="justify" wrapText="1"/>
      <protection/>
    </xf>
    <xf numFmtId="3" fontId="2" fillId="0" borderId="5" xfId="24" applyNumberFormat="1" applyFont="1" applyFill="1" applyBorder="1" applyAlignment="1">
      <alignment horizontal="center" vertical="justify" wrapText="1"/>
      <protection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0" xfId="21" applyNumberFormat="1" applyFont="1" applyFill="1" applyAlignment="1" applyProtection="1">
      <alignment horizontal="left" vertical="justify"/>
      <protection locked="0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Баланс" xfId="21"/>
    <cellStyle name="Normal_Отч.парич.поток" xfId="22"/>
    <cellStyle name="Normal_Отч.прих-разх" xfId="23"/>
    <cellStyle name="Normal_Отч.собств.кап.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biams\shared\Documents%20and%20Settings\v_ankova\Desktop\TBICOMFORT300908-korekc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 1-КИС-БАЛАНС"/>
      <sheetName val="справка № 2-КИС-ОД"/>
      <sheetName val="справка № 3-КИС-ОПП"/>
      <sheetName val="справка № 4-КИС-ОСК"/>
      <sheetName val="справка № 5-КИС"/>
      <sheetName val="справка Nо 6-КИС"/>
      <sheetName val="справка №7-КИС"/>
      <sheetName val="справка №8-КИС"/>
    </sheetNames>
    <sheetDataSet>
      <sheetData sheetId="0">
        <row r="3">
          <cell r="A3" t="str">
            <v>Наименование на КИС:ТИ БИ АЙ КОМФОРТ ДФ</v>
          </cell>
          <cell r="D3" t="str">
            <v>ЕИК по БУЛСТАТ: 131569431</v>
          </cell>
        </row>
        <row r="48">
          <cell r="C48" t="str">
            <v>/Eлеонора Стоева/</v>
          </cell>
          <cell r="D48" t="str">
            <v>/Стоян Тошев/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6"/>
  <sheetViews>
    <sheetView workbookViewId="0" topLeftCell="A1">
      <selection activeCell="H8" sqref="H8"/>
    </sheetView>
  </sheetViews>
  <sheetFormatPr defaultColWidth="9.140625" defaultRowHeight="12.75"/>
  <cols>
    <col min="1" max="1" width="35.7109375" style="3" customWidth="1"/>
    <col min="2" max="3" width="9.7109375" style="121" customWidth="1"/>
    <col min="4" max="4" width="36.7109375" style="3" customWidth="1"/>
    <col min="5" max="6" width="9.7109375" style="121" customWidth="1"/>
    <col min="7" max="7" width="5.7109375" style="3" customWidth="1"/>
    <col min="8" max="16384" width="9.140625" style="3" customWidth="1"/>
  </cols>
  <sheetData>
    <row r="1" spans="5:6" ht="12" customHeight="1">
      <c r="E1" s="122" t="s">
        <v>154</v>
      </c>
      <c r="F1" s="122"/>
    </row>
    <row r="2" spans="1:6" ht="12" customHeight="1">
      <c r="A2" s="14"/>
      <c r="B2" s="131" t="s">
        <v>0</v>
      </c>
      <c r="C2" s="131"/>
      <c r="D2" s="131"/>
      <c r="E2" s="123"/>
      <c r="F2" s="123"/>
    </row>
    <row r="3" spans="1:6" ht="12" customHeight="1">
      <c r="A3" s="14"/>
      <c r="B3" s="14"/>
      <c r="C3" s="14"/>
      <c r="D3" s="14"/>
      <c r="E3" s="123"/>
      <c r="F3" s="123"/>
    </row>
    <row r="4" spans="1:6" ht="12" customHeight="1">
      <c r="A4" s="14"/>
      <c r="B4" s="14"/>
      <c r="C4" s="14"/>
      <c r="D4" s="14"/>
      <c r="E4" s="123"/>
      <c r="F4" s="123"/>
    </row>
    <row r="5" spans="1:6" ht="15" customHeight="1">
      <c r="A5" s="130" t="s">
        <v>188</v>
      </c>
      <c r="B5" s="130"/>
      <c r="C5" s="15"/>
      <c r="D5" s="91" t="s">
        <v>187</v>
      </c>
      <c r="E5" s="91"/>
      <c r="F5" s="91"/>
    </row>
    <row r="6" spans="1:6" ht="12">
      <c r="A6" s="15" t="s">
        <v>192</v>
      </c>
      <c r="B6" s="124"/>
      <c r="C6" s="124"/>
      <c r="D6" s="16"/>
      <c r="E6" s="123"/>
      <c r="F6" s="123"/>
    </row>
    <row r="7" spans="1:6" ht="12">
      <c r="A7" s="15"/>
      <c r="B7" s="124"/>
      <c r="C7" s="124"/>
      <c r="D7" s="16"/>
      <c r="E7" s="123"/>
      <c r="F7" s="123"/>
    </row>
    <row r="8" spans="1:6" ht="50.25" customHeight="1">
      <c r="A8" s="17" t="s">
        <v>1</v>
      </c>
      <c r="B8" s="29" t="s">
        <v>2</v>
      </c>
      <c r="C8" s="29" t="s">
        <v>3</v>
      </c>
      <c r="D8" s="18" t="s">
        <v>7</v>
      </c>
      <c r="E8" s="29" t="s">
        <v>4</v>
      </c>
      <c r="F8" s="29" t="s">
        <v>3</v>
      </c>
    </row>
    <row r="9" spans="1:6" ht="12">
      <c r="A9" s="17" t="s">
        <v>6</v>
      </c>
      <c r="B9" s="29">
        <v>1</v>
      </c>
      <c r="C9" s="29">
        <v>1</v>
      </c>
      <c r="D9" s="18" t="s">
        <v>6</v>
      </c>
      <c r="E9" s="29">
        <v>1</v>
      </c>
      <c r="F9" s="29">
        <v>1</v>
      </c>
    </row>
    <row r="10" spans="1:6" ht="12">
      <c r="A10" s="19" t="s">
        <v>8</v>
      </c>
      <c r="B10" s="30"/>
      <c r="C10" s="30"/>
      <c r="D10" s="11" t="s">
        <v>28</v>
      </c>
      <c r="E10" s="30"/>
      <c r="F10" s="30"/>
    </row>
    <row r="11" spans="1:30" ht="12">
      <c r="A11" s="13" t="s">
        <v>29</v>
      </c>
      <c r="B11" s="112"/>
      <c r="C11" s="112"/>
      <c r="D11" s="13" t="s">
        <v>30</v>
      </c>
      <c r="E11" s="112">
        <v>1158489.51</v>
      </c>
      <c r="F11" s="112">
        <v>1961653.88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12">
      <c r="A12" s="12" t="s">
        <v>148</v>
      </c>
      <c r="B12" s="113">
        <f>SUM(B13:B14)</f>
        <v>0</v>
      </c>
      <c r="C12" s="113">
        <f>SUM(C13:C14)</f>
        <v>0</v>
      </c>
      <c r="D12" s="13" t="s">
        <v>31</v>
      </c>
      <c r="E12" s="112"/>
      <c r="F12" s="112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ht="24">
      <c r="A13" s="12" t="s">
        <v>102</v>
      </c>
      <c r="B13" s="112"/>
      <c r="C13" s="112"/>
      <c r="D13" s="12" t="s">
        <v>147</v>
      </c>
      <c r="E13" s="112">
        <v>-641546.84</v>
      </c>
      <c r="F13" s="112">
        <v>-488972.41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ht="24" customHeight="1">
      <c r="A14" s="12" t="s">
        <v>111</v>
      </c>
      <c r="B14" s="112"/>
      <c r="C14" s="112"/>
      <c r="D14" s="12" t="s">
        <v>32</v>
      </c>
      <c r="E14" s="112"/>
      <c r="F14" s="112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12">
      <c r="A15" s="12" t="s">
        <v>139</v>
      </c>
      <c r="B15" s="112"/>
      <c r="C15" s="112"/>
      <c r="D15" s="12" t="s">
        <v>118</v>
      </c>
      <c r="E15" s="112"/>
      <c r="F15" s="112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12">
      <c r="A16" s="20" t="s">
        <v>12</v>
      </c>
      <c r="B16" s="113">
        <f>+B15+B12</f>
        <v>0</v>
      </c>
      <c r="C16" s="113">
        <f>+C15+C12</f>
        <v>0</v>
      </c>
      <c r="D16" s="20" t="s">
        <v>27</v>
      </c>
      <c r="E16" s="113">
        <f>SUM(E13:E15)</f>
        <v>-641546.84</v>
      </c>
      <c r="F16" s="113">
        <f>SUM(F13:F15)</f>
        <v>-488972.41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ht="12">
      <c r="A17" s="13" t="s">
        <v>174</v>
      </c>
      <c r="B17" s="112"/>
      <c r="C17" s="112"/>
      <c r="D17" s="13" t="s">
        <v>33</v>
      </c>
      <c r="E17" s="112"/>
      <c r="F17" s="112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ht="12">
      <c r="A18" s="20" t="s">
        <v>39</v>
      </c>
      <c r="B18" s="113">
        <f>+B17+B16</f>
        <v>0</v>
      </c>
      <c r="C18" s="113">
        <f>+C17+C16</f>
        <v>0</v>
      </c>
      <c r="D18" s="12" t="s">
        <v>34</v>
      </c>
      <c r="E18" s="113">
        <f>SUM(E19:E20)</f>
        <v>930142</v>
      </c>
      <c r="F18" s="113">
        <f>SUM(F19:F20)</f>
        <v>2080323.41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12">
      <c r="A19" s="11" t="s">
        <v>41</v>
      </c>
      <c r="B19" s="112"/>
      <c r="C19" s="112"/>
      <c r="D19" s="12" t="s">
        <v>35</v>
      </c>
      <c r="E19" s="112">
        <v>930142</v>
      </c>
      <c r="F19" s="112">
        <v>2080323.41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12">
      <c r="A20" s="11" t="s">
        <v>43</v>
      </c>
      <c r="B20" s="112"/>
      <c r="C20" s="112"/>
      <c r="D20" s="12" t="s">
        <v>36</v>
      </c>
      <c r="E20" s="112"/>
      <c r="F20" s="112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ht="12">
      <c r="A21" s="10" t="s">
        <v>9</v>
      </c>
      <c r="B21" s="112">
        <v>276.18</v>
      </c>
      <c r="C21" s="112">
        <v>470.26</v>
      </c>
      <c r="D21" s="10" t="s">
        <v>37</v>
      </c>
      <c r="E21" s="112">
        <v>-83848.88</v>
      </c>
      <c r="F21" s="112">
        <v>-1150181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12">
      <c r="A22" s="10" t="s">
        <v>10</v>
      </c>
      <c r="B22" s="112">
        <f>41098.46+833.29</f>
        <v>41931.75</v>
      </c>
      <c r="C22" s="112">
        <f>26779.5+17353</f>
        <v>44132.5</v>
      </c>
      <c r="D22" s="20" t="s">
        <v>38</v>
      </c>
      <c r="E22" s="113">
        <f>+E21+E18</f>
        <v>846293.12</v>
      </c>
      <c r="F22" s="113">
        <f>+F21+F18</f>
        <v>930142.4099999999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ht="12">
      <c r="A23" s="10" t="s">
        <v>175</v>
      </c>
      <c r="B23" s="112">
        <v>176024.7</v>
      </c>
      <c r="C23" s="112">
        <v>459620.05</v>
      </c>
      <c r="D23" s="21" t="s">
        <v>40</v>
      </c>
      <c r="E23" s="113">
        <f>+E16+E22+E11</f>
        <v>1363235.79</v>
      </c>
      <c r="F23" s="113">
        <f>+F16+F22+F11</f>
        <v>2402823.88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ht="12">
      <c r="A24" s="10" t="s">
        <v>138</v>
      </c>
      <c r="B24" s="112"/>
      <c r="C24" s="112"/>
      <c r="D24" s="22"/>
      <c r="E24" s="112"/>
      <c r="F24" s="112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ht="12">
      <c r="A25" s="21" t="s">
        <v>12</v>
      </c>
      <c r="B25" s="113">
        <f>SUM(B21:B24)</f>
        <v>218232.63</v>
      </c>
      <c r="C25" s="113">
        <f>SUM(C21:C24)</f>
        <v>504222.81</v>
      </c>
      <c r="D25" s="10"/>
      <c r="E25" s="112"/>
      <c r="F25" s="112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ht="12">
      <c r="A26" s="11" t="s">
        <v>120</v>
      </c>
      <c r="B26" s="112"/>
      <c r="C26" s="112"/>
      <c r="D26" s="11" t="s">
        <v>42</v>
      </c>
      <c r="E26" s="112"/>
      <c r="F26" s="112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ht="12">
      <c r="A27" s="10" t="s">
        <v>148</v>
      </c>
      <c r="B27" s="113">
        <f>SUM(B28:B31)</f>
        <v>1090405.12</v>
      </c>
      <c r="C27" s="113">
        <f>SUM(C28:C31)</f>
        <v>1823405.5499999998</v>
      </c>
      <c r="D27" s="23" t="s">
        <v>149</v>
      </c>
      <c r="E27" s="112"/>
      <c r="F27" s="112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ht="24">
      <c r="A28" s="10" t="s">
        <v>102</v>
      </c>
      <c r="B28" s="112">
        <v>239008</v>
      </c>
      <c r="C28" s="112">
        <v>395433.5</v>
      </c>
      <c r="D28" s="12" t="s">
        <v>135</v>
      </c>
      <c r="E28" s="112">
        <f>SUM(E29:E31)</f>
        <v>3200.6</v>
      </c>
      <c r="F28" s="112">
        <f>SUM(F29:F31)</f>
        <v>5725.83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6" ht="12">
      <c r="A29" s="10" t="s">
        <v>116</v>
      </c>
      <c r="B29" s="30"/>
      <c r="C29" s="30"/>
      <c r="D29" s="12" t="s">
        <v>176</v>
      </c>
      <c r="E29" s="30">
        <v>297.79</v>
      </c>
      <c r="F29" s="30">
        <v>297.79</v>
      </c>
    </row>
    <row r="30" spans="1:6" ht="12">
      <c r="A30" s="10" t="s">
        <v>111</v>
      </c>
      <c r="B30" s="30">
        <f>4182+835844.98+134.14+11236</f>
        <v>851397.12</v>
      </c>
      <c r="C30" s="30">
        <f>1382839.75+22076.43+4079.24+18976.63</f>
        <v>1427972.0499999998</v>
      </c>
      <c r="D30" s="12" t="s">
        <v>104</v>
      </c>
      <c r="E30" s="30">
        <v>2902.81</v>
      </c>
      <c r="F30" s="30">
        <v>5428.04</v>
      </c>
    </row>
    <row r="31" spans="1:6" ht="12">
      <c r="A31" s="10" t="s">
        <v>11</v>
      </c>
      <c r="B31" s="30"/>
      <c r="C31" s="30"/>
      <c r="D31" s="3" t="s">
        <v>115</v>
      </c>
      <c r="E31" s="30"/>
      <c r="F31" s="30"/>
    </row>
    <row r="32" spans="1:6" ht="12">
      <c r="A32" s="10" t="s">
        <v>140</v>
      </c>
      <c r="B32" s="30"/>
      <c r="C32" s="30"/>
      <c r="D32" s="23" t="s">
        <v>131</v>
      </c>
      <c r="E32" s="30">
        <f>720+123</f>
        <v>843</v>
      </c>
      <c r="F32" s="30">
        <v>480</v>
      </c>
    </row>
    <row r="33" spans="1:6" ht="12">
      <c r="A33" s="10" t="s">
        <v>141</v>
      </c>
      <c r="B33" s="30"/>
      <c r="C33" s="30">
        <v>14337.42</v>
      </c>
      <c r="D33" s="3" t="s">
        <v>150</v>
      </c>
      <c r="E33" s="30"/>
      <c r="F33" s="30"/>
    </row>
    <row r="34" spans="1:6" ht="12">
      <c r="A34" s="10" t="s">
        <v>142</v>
      </c>
      <c r="B34" s="30"/>
      <c r="C34" s="30"/>
      <c r="D34" s="23" t="s">
        <v>113</v>
      </c>
      <c r="E34" s="30"/>
      <c r="F34" s="30"/>
    </row>
    <row r="35" spans="1:6" ht="12">
      <c r="A35" s="10" t="s">
        <v>143</v>
      </c>
      <c r="B35" s="30"/>
      <c r="C35" s="30"/>
      <c r="D35" s="23" t="s">
        <v>114</v>
      </c>
      <c r="E35" s="30"/>
      <c r="F35" s="30"/>
    </row>
    <row r="36" spans="1:6" ht="12">
      <c r="A36" s="10" t="s">
        <v>144</v>
      </c>
      <c r="B36" s="30"/>
      <c r="C36" s="30"/>
      <c r="D36" s="23" t="s">
        <v>151</v>
      </c>
      <c r="E36" s="129"/>
      <c r="F36" s="129"/>
    </row>
    <row r="37" spans="1:6" ht="12">
      <c r="A37" s="21" t="s">
        <v>13</v>
      </c>
      <c r="B37" s="114">
        <f>+B27+B32+B33+B34+B35+B36</f>
        <v>1090405.12</v>
      </c>
      <c r="C37" s="114">
        <f>+C27+C32+C33+C34+C35+C36</f>
        <v>1837742.9699999997</v>
      </c>
      <c r="D37" s="10" t="s">
        <v>152</v>
      </c>
      <c r="E37" s="30"/>
      <c r="F37" s="30"/>
    </row>
    <row r="38" spans="1:6" ht="24" customHeight="1">
      <c r="A38" s="11" t="s">
        <v>117</v>
      </c>
      <c r="B38" s="30"/>
      <c r="C38" s="30"/>
      <c r="D38" s="23" t="s">
        <v>153</v>
      </c>
      <c r="E38" s="30"/>
      <c r="F38" s="30">
        <v>1144.43</v>
      </c>
    </row>
    <row r="39" spans="1:6" ht="13.5" customHeight="1">
      <c r="A39" s="12" t="s">
        <v>145</v>
      </c>
      <c r="B39" s="30">
        <f>41268.01+2550.68</f>
        <v>43818.69</v>
      </c>
      <c r="C39" s="30">
        <f>41733.89+9277.52+3659.68</f>
        <v>54671.090000000004</v>
      </c>
      <c r="D39" s="23" t="s">
        <v>119</v>
      </c>
      <c r="E39" s="129"/>
      <c r="F39" s="129"/>
    </row>
    <row r="40" spans="1:6" ht="24">
      <c r="A40" s="12" t="s">
        <v>103</v>
      </c>
      <c r="B40" s="30">
        <f>13372.32+1285</f>
        <v>14657.32</v>
      </c>
      <c r="C40" s="30">
        <v>13537</v>
      </c>
      <c r="D40" s="21" t="s">
        <v>12</v>
      </c>
      <c r="E40" s="114">
        <f>SUM(E27:E38)-E28</f>
        <v>4043.6</v>
      </c>
      <c r="F40" s="114">
        <f>SUM(F27:F38)-F28</f>
        <v>7350.26</v>
      </c>
    </row>
    <row r="41" spans="1:6" ht="12">
      <c r="A41" s="12" t="s">
        <v>146</v>
      </c>
      <c r="B41" s="30"/>
      <c r="C41" s="30"/>
      <c r="D41" s="21" t="s">
        <v>45</v>
      </c>
      <c r="E41" s="114">
        <f>+E40</f>
        <v>4043.6</v>
      </c>
      <c r="F41" s="114">
        <f>+F40</f>
        <v>7350.26</v>
      </c>
    </row>
    <row r="42" spans="1:6" ht="12">
      <c r="A42" s="12" t="s">
        <v>112</v>
      </c>
      <c r="C42" s="30"/>
      <c r="D42" s="10"/>
      <c r="E42" s="30"/>
      <c r="F42" s="30"/>
    </row>
    <row r="43" spans="1:6" ht="12">
      <c r="A43" s="20" t="s">
        <v>14</v>
      </c>
      <c r="B43" s="114">
        <f>SUM(B39:B42)</f>
        <v>58476.01</v>
      </c>
      <c r="C43" s="114">
        <f>SUM(C39:C42)</f>
        <v>68208.09</v>
      </c>
      <c r="D43" s="10"/>
      <c r="E43" s="30"/>
      <c r="F43" s="30"/>
    </row>
    <row r="44" spans="1:6" ht="12">
      <c r="A44" s="13" t="s">
        <v>44</v>
      </c>
      <c r="B44" s="30">
        <v>165</v>
      </c>
      <c r="C44" s="30"/>
      <c r="D44" s="10"/>
      <c r="E44" s="30"/>
      <c r="F44" s="30"/>
    </row>
    <row r="45" spans="1:6" ht="12">
      <c r="A45" s="20" t="s">
        <v>45</v>
      </c>
      <c r="B45" s="114">
        <f>+B25+B37+B43+B44</f>
        <v>1367278.76</v>
      </c>
      <c r="C45" s="114">
        <f>+C25+C37+C43+C44</f>
        <v>2410173.8699999996</v>
      </c>
      <c r="D45" s="10"/>
      <c r="E45" s="30"/>
      <c r="F45" s="30"/>
    </row>
    <row r="46" spans="2:6" ht="12.75" customHeight="1">
      <c r="B46" s="114"/>
      <c r="C46" s="114"/>
      <c r="D46" s="10"/>
      <c r="E46" s="30"/>
      <c r="F46" s="30"/>
    </row>
    <row r="47" spans="1:6" ht="12">
      <c r="A47" s="20" t="s">
        <v>47</v>
      </c>
      <c r="B47" s="113">
        <f>+B45+B18</f>
        <v>1367278.76</v>
      </c>
      <c r="C47" s="113">
        <f>+C45+C18</f>
        <v>2410173.8699999996</v>
      </c>
      <c r="D47" s="20" t="s">
        <v>46</v>
      </c>
      <c r="E47" s="114">
        <f>+E23+E41</f>
        <v>1367279.3900000001</v>
      </c>
      <c r="F47" s="114">
        <f>+F23+F41</f>
        <v>2410174.1399999997</v>
      </c>
    </row>
    <row r="48" spans="2:7" ht="12">
      <c r="B48" s="31"/>
      <c r="C48" s="31"/>
      <c r="D48" s="2"/>
      <c r="E48" s="31"/>
      <c r="F48" s="31"/>
      <c r="G48" s="2"/>
    </row>
    <row r="49" spans="1:7" ht="12">
      <c r="A49" s="5" t="s">
        <v>193</v>
      </c>
      <c r="B49" s="31" t="s">
        <v>189</v>
      </c>
      <c r="C49" s="31"/>
      <c r="D49" s="26" t="s">
        <v>97</v>
      </c>
      <c r="E49" s="31"/>
      <c r="F49" s="31"/>
      <c r="G49" s="2"/>
    </row>
    <row r="50" spans="2:7" ht="12">
      <c r="B50" s="33"/>
      <c r="C50" s="33" t="s">
        <v>191</v>
      </c>
      <c r="D50" s="27" t="s">
        <v>186</v>
      </c>
      <c r="E50" s="33"/>
      <c r="F50" s="33"/>
      <c r="G50" s="2"/>
    </row>
    <row r="51" spans="2:7" ht="12">
      <c r="B51" s="33"/>
      <c r="C51" s="33"/>
      <c r="D51" s="2"/>
      <c r="E51" s="31"/>
      <c r="F51" s="31"/>
      <c r="G51" s="2"/>
    </row>
    <row r="52" spans="2:6" ht="12">
      <c r="B52" s="31"/>
      <c r="C52" s="31"/>
      <c r="D52" s="2"/>
      <c r="E52" s="31"/>
      <c r="F52" s="31"/>
    </row>
    <row r="53" spans="1:7" ht="12">
      <c r="A53" s="2"/>
      <c r="D53" s="2"/>
      <c r="E53" s="125"/>
      <c r="F53" s="125"/>
      <c r="G53" s="2"/>
    </row>
    <row r="54" spans="2:7" ht="12">
      <c r="B54" s="126"/>
      <c r="C54" s="126"/>
      <c r="E54" s="126"/>
      <c r="F54" s="126"/>
      <c r="G54" s="2"/>
    </row>
    <row r="55" spans="1:7" ht="12">
      <c r="A55" s="2"/>
      <c r="D55" s="2"/>
      <c r="G55" s="2"/>
    </row>
    <row r="56" spans="1:7" ht="12">
      <c r="A56" s="2"/>
      <c r="B56" s="126"/>
      <c r="C56" s="126"/>
      <c r="D56" s="2"/>
      <c r="E56" s="126"/>
      <c r="F56" s="126"/>
      <c r="G56" s="2"/>
    </row>
    <row r="57" spans="1:7" ht="12">
      <c r="A57" s="2"/>
      <c r="B57" s="126"/>
      <c r="C57" s="126"/>
      <c r="D57" s="2"/>
      <c r="E57" s="126"/>
      <c r="F57" s="126"/>
      <c r="G57" s="2"/>
    </row>
    <row r="58" spans="1:7" ht="12">
      <c r="A58" s="2"/>
      <c r="B58" s="126"/>
      <c r="C58" s="126"/>
      <c r="D58" s="2"/>
      <c r="E58" s="126"/>
      <c r="F58" s="126"/>
      <c r="G58" s="2"/>
    </row>
    <row r="59" spans="1:7" ht="12">
      <c r="A59" s="2"/>
      <c r="B59" s="126"/>
      <c r="C59" s="126"/>
      <c r="D59" s="2"/>
      <c r="E59" s="126"/>
      <c r="F59" s="126"/>
      <c r="G59" s="2"/>
    </row>
    <row r="60" spans="1:7" ht="12">
      <c r="A60" s="2"/>
      <c r="B60" s="126"/>
      <c r="C60" s="126"/>
      <c r="D60" s="2"/>
      <c r="E60" s="126"/>
      <c r="F60" s="126"/>
      <c r="G60" s="2"/>
    </row>
    <row r="61" spans="1:7" ht="12">
      <c r="A61" s="2"/>
      <c r="B61" s="126"/>
      <c r="C61" s="126"/>
      <c r="D61" s="2"/>
      <c r="E61" s="126"/>
      <c r="F61" s="126"/>
      <c r="G61" s="2"/>
    </row>
    <row r="62" spans="1:7" ht="12">
      <c r="A62" s="2"/>
      <c r="B62" s="126"/>
      <c r="C62" s="126"/>
      <c r="D62" s="4"/>
      <c r="E62" s="126"/>
      <c r="F62" s="126"/>
      <c r="G62" s="2"/>
    </row>
    <row r="63" spans="1:7" s="5" customFormat="1" ht="12">
      <c r="A63" s="4"/>
      <c r="B63" s="126"/>
      <c r="C63" s="126"/>
      <c r="D63" s="4"/>
      <c r="E63" s="126"/>
      <c r="F63" s="126"/>
      <c r="G63" s="4"/>
    </row>
    <row r="64" spans="1:7" s="5" customFormat="1" ht="12">
      <c r="A64" s="4"/>
      <c r="B64" s="125"/>
      <c r="C64" s="125"/>
      <c r="D64" s="24"/>
      <c r="E64" s="125"/>
      <c r="F64" s="125"/>
      <c r="G64" s="4"/>
    </row>
    <row r="65" spans="2:6" s="5" customFormat="1" ht="12">
      <c r="B65" s="125"/>
      <c r="C65" s="125"/>
      <c r="E65" s="125"/>
      <c r="F65" s="125"/>
    </row>
    <row r="66" spans="2:6" s="5" customFormat="1" ht="12">
      <c r="B66" s="127"/>
      <c r="C66" s="127"/>
      <c r="E66" s="127"/>
      <c r="F66" s="127"/>
    </row>
    <row r="67" spans="2:6" s="5" customFormat="1" ht="12">
      <c r="B67" s="127"/>
      <c r="C67" s="127"/>
      <c r="E67" s="127"/>
      <c r="F67" s="127"/>
    </row>
    <row r="68" spans="2:6" s="5" customFormat="1" ht="12">
      <c r="B68" s="127"/>
      <c r="C68" s="127"/>
      <c r="E68" s="127"/>
      <c r="F68" s="127"/>
    </row>
    <row r="69" spans="2:6" s="5" customFormat="1" ht="12">
      <c r="B69" s="127"/>
      <c r="C69" s="127"/>
      <c r="E69" s="127"/>
      <c r="F69" s="127"/>
    </row>
    <row r="70" spans="2:6" s="5" customFormat="1" ht="12">
      <c r="B70" s="127"/>
      <c r="C70" s="127"/>
      <c r="E70" s="127"/>
      <c r="F70" s="127"/>
    </row>
    <row r="71" spans="2:6" s="5" customFormat="1" ht="12">
      <c r="B71" s="127"/>
      <c r="C71" s="127"/>
      <c r="E71" s="127"/>
      <c r="F71" s="127"/>
    </row>
    <row r="72" spans="2:6" s="5" customFormat="1" ht="12">
      <c r="B72" s="127"/>
      <c r="C72" s="127"/>
      <c r="E72" s="127"/>
      <c r="F72" s="127"/>
    </row>
    <row r="73" spans="2:6" s="5" customFormat="1" ht="12">
      <c r="B73" s="127"/>
      <c r="C73" s="127"/>
      <c r="E73" s="127"/>
      <c r="F73" s="127"/>
    </row>
    <row r="74" spans="2:6" s="5" customFormat="1" ht="12">
      <c r="B74" s="127"/>
      <c r="C74" s="127"/>
      <c r="E74" s="127"/>
      <c r="F74" s="127"/>
    </row>
    <row r="75" spans="2:6" s="5" customFormat="1" ht="12">
      <c r="B75" s="127"/>
      <c r="C75" s="127"/>
      <c r="E75" s="127"/>
      <c r="F75" s="127"/>
    </row>
    <row r="76" spans="2:6" ht="12">
      <c r="B76" s="127"/>
      <c r="C76" s="127"/>
      <c r="E76" s="127"/>
      <c r="F76" s="127"/>
    </row>
  </sheetData>
  <sheetProtection password="CC60" sheet="1" objects="1" scenarios="1"/>
  <mergeCells count="2">
    <mergeCell ref="A5:B5"/>
    <mergeCell ref="B2:D2"/>
  </mergeCells>
  <printOptions horizontalCentered="1"/>
  <pageMargins left="0" right="0" top="0.4724409448818898" bottom="0.2755905511811024" header="0.31496062992125984" footer="0.11811023622047245"/>
  <pageSetup fitToHeight="1" fitToWidth="1" horizontalDpi="300" verticalDpi="300" orientation="portrait" paperSize="9" scale="9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workbookViewId="0" topLeftCell="A13">
      <selection activeCell="B16" sqref="B16"/>
    </sheetView>
  </sheetViews>
  <sheetFormatPr defaultColWidth="9.140625" defaultRowHeight="12.75"/>
  <cols>
    <col min="1" max="1" width="42.7109375" style="3" customWidth="1"/>
    <col min="2" max="3" width="10.7109375" style="79" customWidth="1"/>
    <col min="4" max="4" width="42.7109375" style="3" customWidth="1"/>
    <col min="5" max="5" width="11.7109375" style="79" customWidth="1"/>
    <col min="6" max="6" width="9.7109375" style="79" customWidth="1"/>
    <col min="7" max="16384" width="9.140625" style="3" customWidth="1"/>
  </cols>
  <sheetData>
    <row r="1" spans="5:6" ht="25.5" customHeight="1">
      <c r="E1" s="119" t="s">
        <v>155</v>
      </c>
      <c r="F1" s="119"/>
    </row>
    <row r="2" spans="1:4" ht="12.75" customHeight="1">
      <c r="A2" s="9"/>
      <c r="C2" s="35" t="s">
        <v>15</v>
      </c>
      <c r="D2" s="35"/>
    </row>
    <row r="3" spans="1:4" ht="12.75" customHeight="1">
      <c r="A3" s="9"/>
      <c r="C3" s="78"/>
      <c r="D3" s="35"/>
    </row>
    <row r="4" spans="1:3" ht="12">
      <c r="A4" s="35" t="s">
        <v>188</v>
      </c>
      <c r="B4" s="35"/>
      <c r="C4" s="35"/>
    </row>
    <row r="5" spans="1:6" ht="12">
      <c r="A5" s="1" t="str">
        <f>'справка № 1-КИС-БАЛАНС'!A6</f>
        <v>Отчетен период: 31.03.2009г.</v>
      </c>
      <c r="B5" s="85"/>
      <c r="C5" s="86"/>
      <c r="D5" s="36" t="s">
        <v>187</v>
      </c>
      <c r="E5" s="25"/>
      <c r="F5" s="25"/>
    </row>
    <row r="6" spans="1:7" ht="12">
      <c r="A6" s="37"/>
      <c r="B6" s="86"/>
      <c r="C6" s="86"/>
      <c r="D6" s="38"/>
      <c r="E6" s="88"/>
      <c r="F6" s="83" t="s">
        <v>81</v>
      </c>
      <c r="G6" s="2"/>
    </row>
    <row r="7" spans="1:7" ht="24">
      <c r="A7" s="39" t="s">
        <v>16</v>
      </c>
      <c r="B7" s="84" t="s">
        <v>2</v>
      </c>
      <c r="C7" s="84" t="s">
        <v>5</v>
      </c>
      <c r="D7" s="39" t="s">
        <v>17</v>
      </c>
      <c r="E7" s="84" t="s">
        <v>2</v>
      </c>
      <c r="F7" s="84" t="s">
        <v>5</v>
      </c>
      <c r="G7" s="2"/>
    </row>
    <row r="8" spans="1:7" ht="12">
      <c r="A8" s="39" t="s">
        <v>6</v>
      </c>
      <c r="B8" s="84">
        <v>1</v>
      </c>
      <c r="C8" s="84">
        <v>2</v>
      </c>
      <c r="D8" s="39" t="s">
        <v>6</v>
      </c>
      <c r="E8" s="84">
        <v>1</v>
      </c>
      <c r="F8" s="84">
        <v>2</v>
      </c>
      <c r="G8" s="2"/>
    </row>
    <row r="9" spans="1:7" ht="18" customHeight="1">
      <c r="A9" s="40" t="s">
        <v>18</v>
      </c>
      <c r="B9" s="87"/>
      <c r="C9" s="87"/>
      <c r="D9" s="40" t="s">
        <v>19</v>
      </c>
      <c r="E9" s="89"/>
      <c r="F9" s="89"/>
      <c r="G9" s="2"/>
    </row>
    <row r="10" spans="1:7" ht="12">
      <c r="A10" s="11" t="s">
        <v>20</v>
      </c>
      <c r="B10" s="75"/>
      <c r="C10" s="75"/>
      <c r="D10" s="11" t="s">
        <v>48</v>
      </c>
      <c r="E10" s="75"/>
      <c r="F10" s="75"/>
      <c r="G10" s="2"/>
    </row>
    <row r="11" spans="1:7" s="5" customFormat="1" ht="12">
      <c r="A11" s="12" t="s">
        <v>21</v>
      </c>
      <c r="B11" s="80"/>
      <c r="C11" s="80"/>
      <c r="D11" s="12" t="s">
        <v>49</v>
      </c>
      <c r="E11" s="80">
        <v>80.27</v>
      </c>
      <c r="F11" s="80"/>
      <c r="G11" s="4"/>
    </row>
    <row r="12" spans="1:7" s="5" customFormat="1" ht="31.5" customHeight="1">
      <c r="A12" s="12" t="s">
        <v>156</v>
      </c>
      <c r="B12" s="80">
        <f>431021.29+2473.53</f>
        <v>433494.82</v>
      </c>
      <c r="C12" s="80">
        <f>1385334.95+616.73</f>
        <v>1385951.68</v>
      </c>
      <c r="D12" s="12" t="s">
        <v>50</v>
      </c>
      <c r="E12" s="80">
        <f>327317.58+793.07</f>
        <v>328110.65</v>
      </c>
      <c r="F12" s="80">
        <f>951650.01+4815.04</f>
        <v>956465.05</v>
      </c>
      <c r="G12" s="4"/>
    </row>
    <row r="13" spans="1:7" s="5" customFormat="1" ht="15.75" customHeight="1">
      <c r="A13" s="12" t="s">
        <v>22</v>
      </c>
      <c r="B13" s="80"/>
      <c r="C13" s="80"/>
      <c r="D13" s="12" t="s">
        <v>51</v>
      </c>
      <c r="E13" s="80"/>
      <c r="F13" s="80"/>
      <c r="G13" s="4"/>
    </row>
    <row r="14" spans="1:7" s="5" customFormat="1" ht="12">
      <c r="A14" s="12" t="s">
        <v>157</v>
      </c>
      <c r="B14" s="80">
        <v>81.55</v>
      </c>
      <c r="C14" s="80">
        <v>103590.35</v>
      </c>
      <c r="D14" s="12" t="s">
        <v>162</v>
      </c>
      <c r="E14" s="80">
        <v>29.66</v>
      </c>
      <c r="F14" s="80">
        <v>105809.39</v>
      </c>
      <c r="G14" s="4"/>
    </row>
    <row r="15" spans="1:7" s="5" customFormat="1" ht="12">
      <c r="A15" s="12" t="s">
        <v>23</v>
      </c>
      <c r="B15" s="80">
        <f>291.1+653.31</f>
        <v>944.41</v>
      </c>
      <c r="C15" s="80">
        <f>54.83+263.14</f>
        <v>317.96999999999997</v>
      </c>
      <c r="D15" s="23" t="s">
        <v>52</v>
      </c>
      <c r="E15" s="80">
        <f>21074.01+8116.91</f>
        <v>29190.92</v>
      </c>
      <c r="F15" s="80">
        <f>30807.53+112493</f>
        <v>143300.53</v>
      </c>
      <c r="G15" s="4"/>
    </row>
    <row r="16" spans="1:7" s="5" customFormat="1" ht="12">
      <c r="A16" s="20"/>
      <c r="B16" s="80"/>
      <c r="C16" s="80"/>
      <c r="D16" s="12" t="s">
        <v>26</v>
      </c>
      <c r="E16" s="128"/>
      <c r="F16" s="80"/>
      <c r="G16" s="4"/>
    </row>
    <row r="17" spans="1:7" s="5" customFormat="1" ht="12">
      <c r="A17" s="20" t="s">
        <v>24</v>
      </c>
      <c r="B17" s="76">
        <f>B12+B14+B15</f>
        <v>434520.77999999997</v>
      </c>
      <c r="C17" s="76">
        <f>SUM(C11:C15)-C13</f>
        <v>1489860</v>
      </c>
      <c r="D17" s="20" t="s">
        <v>24</v>
      </c>
      <c r="E17" s="76">
        <f>E11+E12+E14+E15+E16</f>
        <v>357411.5</v>
      </c>
      <c r="F17" s="76">
        <f>SUM(F11:F16)-F13</f>
        <v>1205574.97</v>
      </c>
      <c r="G17" s="4"/>
    </row>
    <row r="18" spans="1:6" s="5" customFormat="1" ht="12.75">
      <c r="A18" s="110" t="s">
        <v>109</v>
      </c>
      <c r="B18" s="115">
        <v>0</v>
      </c>
      <c r="C18" s="115">
        <f>IF(F17-C17&gt;0,F17-C17,0)</f>
        <v>0</v>
      </c>
      <c r="D18" s="111" t="s">
        <v>109</v>
      </c>
      <c r="E18" s="116">
        <f>B17-E17</f>
        <v>77109.27999999997</v>
      </c>
      <c r="F18" s="116">
        <f>IF(C17-F17&gt;0,C17-F17,0)</f>
        <v>284285.03</v>
      </c>
    </row>
    <row r="19" spans="1:6" s="5" customFormat="1" ht="12">
      <c r="A19" s="13" t="s">
        <v>121</v>
      </c>
      <c r="B19" s="80"/>
      <c r="C19" s="80"/>
      <c r="D19" s="13" t="s">
        <v>53</v>
      </c>
      <c r="E19" s="80"/>
      <c r="F19" s="80"/>
    </row>
    <row r="20" spans="1:6" s="5" customFormat="1" ht="12">
      <c r="A20" s="41" t="s">
        <v>181</v>
      </c>
      <c r="B20" s="80"/>
      <c r="C20" s="80"/>
      <c r="D20" s="111"/>
      <c r="E20" s="80"/>
      <c r="F20" s="80"/>
    </row>
    <row r="21" spans="1:6" s="5" customFormat="1" ht="12">
      <c r="A21" s="12" t="s">
        <v>132</v>
      </c>
      <c r="B21" s="80">
        <v>6739.8</v>
      </c>
      <c r="C21" s="80">
        <v>31558.79</v>
      </c>
      <c r="D21" s="13"/>
      <c r="E21" s="80"/>
      <c r="F21" s="80"/>
    </row>
    <row r="22" spans="1:6" s="5" customFormat="1" ht="12">
      <c r="A22" s="12" t="s">
        <v>25</v>
      </c>
      <c r="B22" s="80"/>
      <c r="C22" s="80"/>
      <c r="D22" s="20"/>
      <c r="E22" s="80"/>
      <c r="F22" s="80"/>
    </row>
    <row r="23" spans="1:6" s="5" customFormat="1" ht="12">
      <c r="A23" s="12" t="s">
        <v>158</v>
      </c>
      <c r="B23" s="80"/>
      <c r="C23" s="80"/>
      <c r="D23" s="12"/>
      <c r="E23" s="80"/>
      <c r="F23" s="80"/>
    </row>
    <row r="24" spans="1:6" s="5" customFormat="1" ht="12">
      <c r="A24" s="12" t="s">
        <v>26</v>
      </c>
      <c r="B24" s="80"/>
      <c r="C24" s="80"/>
      <c r="D24" s="12"/>
      <c r="E24" s="80"/>
      <c r="F24" s="80"/>
    </row>
    <row r="25" spans="1:6" s="5" customFormat="1" ht="12">
      <c r="A25" s="20" t="s">
        <v>27</v>
      </c>
      <c r="B25" s="76">
        <f>B21</f>
        <v>6739.8</v>
      </c>
      <c r="C25" s="76">
        <f>SUM(C20:C24)</f>
        <v>31558.79</v>
      </c>
      <c r="D25" s="20" t="s">
        <v>27</v>
      </c>
      <c r="E25" s="76">
        <v>0</v>
      </c>
      <c r="F25" s="76">
        <f>F19</f>
        <v>0</v>
      </c>
    </row>
    <row r="26" spans="1:6" s="5" customFormat="1" ht="24">
      <c r="A26" s="110" t="s">
        <v>110</v>
      </c>
      <c r="B26" s="115">
        <v>0</v>
      </c>
      <c r="C26" s="115">
        <f>IF(F25-C25&gt;0,F25-C25,0)</f>
        <v>0</v>
      </c>
      <c r="D26" s="13" t="s">
        <v>110</v>
      </c>
      <c r="E26" s="116">
        <f>B25-E25</f>
        <v>6739.8</v>
      </c>
      <c r="F26" s="116">
        <f>IF(C25-F25&gt;0,C25-F25,0)</f>
        <v>31558.79</v>
      </c>
    </row>
    <row r="27" spans="1:6" s="5" customFormat="1" ht="12">
      <c r="A27" s="13" t="s">
        <v>159</v>
      </c>
      <c r="B27" s="76">
        <f>B25+B17</f>
        <v>441260.57999999996</v>
      </c>
      <c r="C27" s="76">
        <f>+C17+C25</f>
        <v>1521418.79</v>
      </c>
      <c r="D27" s="13" t="s">
        <v>54</v>
      </c>
      <c r="E27" s="76">
        <f>E17+E25</f>
        <v>357411.5</v>
      </c>
      <c r="F27" s="76">
        <f>+F17+F25</f>
        <v>1205574.97</v>
      </c>
    </row>
    <row r="28" spans="1:6" s="5" customFormat="1" ht="12.75">
      <c r="A28" s="13" t="s">
        <v>182</v>
      </c>
      <c r="B28" s="115">
        <v>0</v>
      </c>
      <c r="C28" s="115">
        <f>IF(F27-C27&gt;0,F27-C27,0)</f>
        <v>0</v>
      </c>
      <c r="D28" s="13" t="s">
        <v>177</v>
      </c>
      <c r="E28" s="116">
        <f>B27-E27</f>
        <v>83849.07999999996</v>
      </c>
      <c r="F28" s="116">
        <f>IF(C27-F27&gt;0,C27-F27,0)</f>
        <v>315843.82000000007</v>
      </c>
    </row>
    <row r="29" spans="1:6" s="5" customFormat="1" ht="18.75" customHeight="1">
      <c r="A29" s="13" t="s">
        <v>160</v>
      </c>
      <c r="B29" s="80"/>
      <c r="C29" s="80"/>
      <c r="D29" s="12"/>
      <c r="E29" s="80"/>
      <c r="F29" s="80"/>
    </row>
    <row r="30" spans="1:6" s="5" customFormat="1" ht="24" customHeight="1">
      <c r="A30" s="13" t="s">
        <v>161</v>
      </c>
      <c r="B30" s="76">
        <v>0</v>
      </c>
      <c r="C30" s="76">
        <f>+C28-C29</f>
        <v>0</v>
      </c>
      <c r="D30" s="13" t="s">
        <v>163</v>
      </c>
      <c r="E30" s="116">
        <f>E28</f>
        <v>83849.07999999996</v>
      </c>
      <c r="F30" s="116">
        <f>F28</f>
        <v>315843.82000000007</v>
      </c>
    </row>
    <row r="31" spans="1:6" s="5" customFormat="1" ht="14.25" customHeight="1">
      <c r="A31" s="42" t="s">
        <v>183</v>
      </c>
      <c r="B31" s="76">
        <f>B27+B29+B30</f>
        <v>441260.57999999996</v>
      </c>
      <c r="C31" s="76">
        <f>+C27+C29+C30</f>
        <v>1521418.79</v>
      </c>
      <c r="D31" s="13" t="s">
        <v>178</v>
      </c>
      <c r="E31" s="76">
        <f>E27+E30</f>
        <v>441260.57999999996</v>
      </c>
      <c r="F31" s="76">
        <f>+F27+F30</f>
        <v>1521418.79</v>
      </c>
    </row>
    <row r="32" spans="1:6" s="5" customFormat="1" ht="13.5" customHeight="1">
      <c r="A32" s="43"/>
      <c r="B32" s="81"/>
      <c r="C32" s="81"/>
      <c r="D32" s="44"/>
      <c r="E32" s="81"/>
      <c r="F32" s="81"/>
    </row>
    <row r="33" spans="1:6" s="5" customFormat="1" ht="12">
      <c r="A33" s="5" t="str">
        <f>'справка № 1-КИС-БАЛАНС'!A49</f>
        <v>Дата:21.04.2009г.</v>
      </c>
      <c r="B33" s="82"/>
      <c r="C33" s="5" t="s">
        <v>189</v>
      </c>
      <c r="E33" s="120" t="s">
        <v>190</v>
      </c>
      <c r="F33" s="120"/>
    </row>
    <row r="34" spans="1:6" s="5" customFormat="1" ht="14.25" customHeight="1">
      <c r="A34" s="4"/>
      <c r="B34" s="81"/>
      <c r="C34" s="81"/>
      <c r="D34" s="32" t="s">
        <v>179</v>
      </c>
      <c r="E34" s="118" t="s">
        <v>186</v>
      </c>
      <c r="F34" s="118"/>
    </row>
    <row r="35" spans="1:6" s="5" customFormat="1" ht="15.75" customHeight="1">
      <c r="A35" s="45"/>
      <c r="B35" s="81"/>
      <c r="C35" s="81"/>
      <c r="D35" s="4"/>
      <c r="E35" s="81"/>
      <c r="F35" s="81"/>
    </row>
    <row r="36" spans="1:6" s="5" customFormat="1" ht="15.75" customHeight="1">
      <c r="A36" s="45"/>
      <c r="B36" s="81"/>
      <c r="C36" s="81"/>
      <c r="D36" s="4"/>
      <c r="E36" s="81"/>
      <c r="F36" s="81"/>
    </row>
    <row r="37" spans="1:6" s="5" customFormat="1" ht="15.75" customHeight="1">
      <c r="A37" s="46"/>
      <c r="B37" s="81"/>
      <c r="C37" s="81"/>
      <c r="D37" s="4"/>
      <c r="E37" s="81"/>
      <c r="F37" s="81"/>
    </row>
    <row r="38" spans="1:6" s="5" customFormat="1" ht="15" customHeight="1">
      <c r="A38" s="4"/>
      <c r="B38" s="81"/>
      <c r="C38" s="81"/>
      <c r="D38" s="4"/>
      <c r="E38" s="81"/>
      <c r="F38" s="81"/>
    </row>
    <row r="39" spans="1:6" s="5" customFormat="1" ht="17.25" customHeight="1">
      <c r="A39" s="4"/>
      <c r="B39" s="81"/>
      <c r="C39" s="81"/>
      <c r="D39" s="4"/>
      <c r="E39" s="81"/>
      <c r="F39" s="81"/>
    </row>
    <row r="40" spans="2:6" s="5" customFormat="1" ht="12">
      <c r="B40" s="82"/>
      <c r="C40" s="82"/>
      <c r="E40" s="82"/>
      <c r="F40" s="82"/>
    </row>
    <row r="41" spans="2:6" s="5" customFormat="1" ht="12">
      <c r="B41" s="82"/>
      <c r="C41" s="82"/>
      <c r="E41" s="82"/>
      <c r="F41" s="82"/>
    </row>
    <row r="42" spans="2:6" s="5" customFormat="1" ht="12.75" customHeight="1">
      <c r="B42" s="82"/>
      <c r="C42" s="82"/>
      <c r="E42" s="82"/>
      <c r="F42" s="82"/>
    </row>
    <row r="43" spans="2:6" s="5" customFormat="1" ht="12">
      <c r="B43" s="82"/>
      <c r="C43" s="82"/>
      <c r="E43" s="82"/>
      <c r="F43" s="82"/>
    </row>
    <row r="44" spans="2:6" s="5" customFormat="1" ht="12">
      <c r="B44" s="82"/>
      <c r="C44" s="82"/>
      <c r="E44" s="82"/>
      <c r="F44" s="82"/>
    </row>
    <row r="45" spans="2:6" s="5" customFormat="1" ht="12">
      <c r="B45" s="82"/>
      <c r="C45" s="82"/>
      <c r="E45" s="82"/>
      <c r="F45" s="82"/>
    </row>
    <row r="46" spans="2:6" s="5" customFormat="1" ht="12">
      <c r="B46" s="82"/>
      <c r="C46" s="82"/>
      <c r="E46" s="82"/>
      <c r="F46" s="82"/>
    </row>
    <row r="47" spans="1:6" s="5" customFormat="1" ht="12">
      <c r="A47" s="3"/>
      <c r="B47" s="82"/>
      <c r="C47" s="82"/>
      <c r="E47" s="82"/>
      <c r="F47" s="82"/>
    </row>
  </sheetData>
  <sheetProtection password="CC60" sheet="1" objects="1" scenarios="1"/>
  <printOptions horizontalCentered="1"/>
  <pageMargins left="0" right="0" top="0.6299212598425197" bottom="0.3937007874015748" header="0.2755905511811024" footer="0.11811023622047245"/>
  <pageSetup fitToHeight="1" fitToWidth="1" horizontalDpi="300" verticalDpi="300" orientation="portrait" paperSize="9" scale="8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workbookViewId="0" topLeftCell="A1">
      <selection activeCell="C22" sqref="C22"/>
    </sheetView>
  </sheetViews>
  <sheetFormatPr defaultColWidth="9.140625" defaultRowHeight="12.75"/>
  <cols>
    <col min="1" max="1" width="47.140625" style="3" customWidth="1"/>
    <col min="2" max="2" width="11.7109375" style="28" customWidth="1"/>
    <col min="3" max="3" width="11.00390625" style="28" customWidth="1"/>
    <col min="4" max="4" width="10.7109375" style="28" customWidth="1"/>
    <col min="5" max="5" width="11.7109375" style="28" customWidth="1"/>
    <col min="6" max="6" width="12.28125" style="28" customWidth="1"/>
    <col min="7" max="7" width="10.7109375" style="28" customWidth="1"/>
    <col min="8" max="16384" width="9.140625" style="3" customWidth="1"/>
  </cols>
  <sheetData>
    <row r="1" spans="1:7" ht="12">
      <c r="A1" s="47"/>
      <c r="B1" s="48"/>
      <c r="C1" s="48"/>
      <c r="D1" s="48"/>
      <c r="E1" s="134" t="s">
        <v>164</v>
      </c>
      <c r="F1" s="134"/>
      <c r="G1" s="48"/>
    </row>
    <row r="2" spans="1:7" ht="12">
      <c r="A2" s="137" t="s">
        <v>96</v>
      </c>
      <c r="B2" s="138"/>
      <c r="C2" s="138"/>
      <c r="D2" s="138"/>
      <c r="E2" s="138"/>
      <c r="F2" s="138"/>
      <c r="G2" s="48"/>
    </row>
    <row r="3" spans="1:7" ht="12">
      <c r="A3" s="49"/>
      <c r="B3" s="50"/>
      <c r="C3" s="50"/>
      <c r="D3" s="50"/>
      <c r="E3" s="50"/>
      <c r="F3" s="50"/>
      <c r="G3" s="48"/>
    </row>
    <row r="4" spans="1:7" ht="15" customHeight="1">
      <c r="A4" s="1" t="str">
        <f>'[1]справка № 1-КИС-БАЛАНС'!A3:C3</f>
        <v>Наименование на КИС:ТИ БИ АЙ КОМФОРТ ДФ</v>
      </c>
      <c r="B4" s="34"/>
      <c r="D4" s="141" t="str">
        <f>'[1]справка № 1-КИС-БАЛАНС'!D3:F3</f>
        <v>ЕИК по БУЛСТАТ: 131569431</v>
      </c>
      <c r="E4" s="141"/>
      <c r="F4" s="141"/>
      <c r="G4" s="48"/>
    </row>
    <row r="5" spans="1:7" ht="12">
      <c r="A5" s="1" t="str">
        <f>'справка № 1-КИС-БАЛАНС'!A6</f>
        <v>Отчетен период: 31.03.2009г.</v>
      </c>
      <c r="B5" s="34"/>
      <c r="E5" s="51"/>
      <c r="F5" s="51"/>
      <c r="G5" s="48"/>
    </row>
    <row r="6" spans="1:7" ht="12">
      <c r="A6" s="1"/>
      <c r="B6" s="34"/>
      <c r="C6" s="52"/>
      <c r="D6" s="53"/>
      <c r="E6" s="48"/>
      <c r="F6" s="48"/>
      <c r="G6" s="54" t="s">
        <v>81</v>
      </c>
    </row>
    <row r="7" spans="1:7" ht="13.5" customHeight="1">
      <c r="A7" s="135" t="s">
        <v>82</v>
      </c>
      <c r="B7" s="140" t="s">
        <v>4</v>
      </c>
      <c r="C7" s="140"/>
      <c r="D7" s="140"/>
      <c r="E7" s="140" t="s">
        <v>5</v>
      </c>
      <c r="F7" s="140"/>
      <c r="G7" s="140"/>
    </row>
    <row r="8" spans="1:7" ht="30.75" customHeight="1">
      <c r="A8" s="136"/>
      <c r="B8" s="56" t="s">
        <v>83</v>
      </c>
      <c r="C8" s="56" t="s">
        <v>84</v>
      </c>
      <c r="D8" s="56" t="s">
        <v>85</v>
      </c>
      <c r="E8" s="56" t="s">
        <v>83</v>
      </c>
      <c r="F8" s="56" t="s">
        <v>84</v>
      </c>
      <c r="G8" s="56" t="s">
        <v>85</v>
      </c>
    </row>
    <row r="9" spans="1:7" s="9" customFormat="1" ht="12">
      <c r="A9" s="55" t="s">
        <v>6</v>
      </c>
      <c r="B9" s="56">
        <v>1</v>
      </c>
      <c r="C9" s="56">
        <v>2</v>
      </c>
      <c r="D9" s="56">
        <v>3</v>
      </c>
      <c r="E9" s="56">
        <v>4</v>
      </c>
      <c r="F9" s="56">
        <v>5</v>
      </c>
      <c r="G9" s="56">
        <v>6</v>
      </c>
    </row>
    <row r="10" spans="1:7" ht="12">
      <c r="A10" s="57" t="s">
        <v>165</v>
      </c>
      <c r="B10" s="58"/>
      <c r="C10" s="58"/>
      <c r="D10" s="59"/>
      <c r="E10" s="58"/>
      <c r="F10" s="58"/>
      <c r="G10" s="59"/>
    </row>
    <row r="11" spans="1:7" ht="12">
      <c r="A11" s="60" t="s">
        <v>184</v>
      </c>
      <c r="B11" s="61">
        <v>1606.09</v>
      </c>
      <c r="C11" s="61">
        <f>438039.64+194.08+514530.82</f>
        <v>952764.54</v>
      </c>
      <c r="D11" s="59">
        <f>+B11-C11</f>
        <v>-951158.4500000001</v>
      </c>
      <c r="E11" s="61">
        <f>1003810.17</f>
        <v>1003810.17</v>
      </c>
      <c r="F11" s="61">
        <f>3925640.86+3349999.95</f>
        <v>7275640.8100000005</v>
      </c>
      <c r="G11" s="59">
        <f>+E11-F11</f>
        <v>-6271830.640000001</v>
      </c>
    </row>
    <row r="12" spans="1:7" ht="12">
      <c r="A12" s="60" t="s">
        <v>166</v>
      </c>
      <c r="B12" s="58"/>
      <c r="C12" s="58"/>
      <c r="D12" s="59">
        <f aca="true" t="shared" si="0" ref="D12:D33">+B12-C12</f>
        <v>0</v>
      </c>
      <c r="E12" s="58"/>
      <c r="F12" s="58"/>
      <c r="G12" s="59">
        <f aca="true" t="shared" si="1" ref="G12:G33">+E12-F12</f>
        <v>0</v>
      </c>
    </row>
    <row r="13" spans="1:7" ht="12">
      <c r="A13" s="60" t="s">
        <v>95</v>
      </c>
      <c r="B13" s="30"/>
      <c r="C13" s="30"/>
      <c r="D13" s="59">
        <f t="shared" si="0"/>
        <v>0</v>
      </c>
      <c r="E13" s="30"/>
      <c r="F13" s="30"/>
      <c r="G13" s="59">
        <f t="shared" si="1"/>
        <v>0</v>
      </c>
    </row>
    <row r="14" spans="1:7" ht="12">
      <c r="A14" s="10" t="s">
        <v>126</v>
      </c>
      <c r="B14" s="30"/>
      <c r="C14" s="30"/>
      <c r="D14" s="59">
        <f t="shared" si="0"/>
        <v>0</v>
      </c>
      <c r="E14" s="30"/>
      <c r="F14" s="30"/>
      <c r="G14" s="59">
        <f t="shared" si="1"/>
        <v>0</v>
      </c>
    </row>
    <row r="15" spans="1:7" ht="12">
      <c r="A15" s="10" t="s">
        <v>136</v>
      </c>
      <c r="B15" s="30"/>
      <c r="C15" s="30"/>
      <c r="D15" s="59">
        <f t="shared" si="0"/>
        <v>0</v>
      </c>
      <c r="E15" s="30"/>
      <c r="F15" s="30"/>
      <c r="G15" s="59">
        <f t="shared" si="1"/>
        <v>0</v>
      </c>
    </row>
    <row r="16" spans="1:7" ht="12">
      <c r="A16" s="60" t="s">
        <v>124</v>
      </c>
      <c r="B16" s="61"/>
      <c r="C16" s="58"/>
      <c r="D16" s="59">
        <f t="shared" si="0"/>
        <v>0</v>
      </c>
      <c r="E16" s="61"/>
      <c r="F16" s="58"/>
      <c r="G16" s="59">
        <f t="shared" si="1"/>
        <v>0</v>
      </c>
    </row>
    <row r="17" spans="1:7" ht="12">
      <c r="A17" s="57" t="s">
        <v>122</v>
      </c>
      <c r="B17" s="59">
        <f aca="true" t="shared" si="2" ref="B17:G17">SUM(B11:B16)-B13</f>
        <v>1606.09</v>
      </c>
      <c r="C17" s="59">
        <f t="shared" si="2"/>
        <v>952764.54</v>
      </c>
      <c r="D17" s="59">
        <f t="shared" si="2"/>
        <v>-951158.4500000001</v>
      </c>
      <c r="E17" s="59">
        <f t="shared" si="2"/>
        <v>1003810.17</v>
      </c>
      <c r="F17" s="59">
        <f t="shared" si="2"/>
        <v>7275640.8100000005</v>
      </c>
      <c r="G17" s="59">
        <f t="shared" si="2"/>
        <v>-6271830.640000001</v>
      </c>
    </row>
    <row r="18" spans="1:7" ht="12">
      <c r="A18" s="57" t="s">
        <v>133</v>
      </c>
      <c r="B18" s="58"/>
      <c r="C18" s="58"/>
      <c r="D18" s="59"/>
      <c r="E18" s="58"/>
      <c r="F18" s="58"/>
      <c r="G18" s="59"/>
    </row>
    <row r="19" spans="1:7" ht="12">
      <c r="A19" s="60" t="s">
        <v>86</v>
      </c>
      <c r="B19" s="58">
        <f>497439.04+3526.65+1842.5+11578.32+2573.29+4475.49+186694.62+1893.89+28266.16+270</f>
        <v>738559.96</v>
      </c>
      <c r="C19" s="58">
        <f>280.46+32947.9+9779.15+232.29+15935.99</f>
        <v>59175.79</v>
      </c>
      <c r="D19" s="59">
        <f t="shared" si="0"/>
        <v>679384.1699999999</v>
      </c>
      <c r="E19" s="58">
        <f>5162157.86+75075.58+583608.71+0.02+253312.27+40208.59+295837.86+98930.22+42579.19+97791.5+511436.7+33147.92+102.41+0.01</f>
        <v>7194188.84</v>
      </c>
      <c r="F19" s="58">
        <f>46042+312144.86+7096.15+240748.01+243307.45+993429.17+330.13+40670.45+107570.65</f>
        <v>1991338.8699999999</v>
      </c>
      <c r="G19" s="59">
        <f t="shared" si="1"/>
        <v>5202849.97</v>
      </c>
    </row>
    <row r="20" spans="1:7" ht="12">
      <c r="A20" s="60" t="s">
        <v>87</v>
      </c>
      <c r="B20" s="58"/>
      <c r="C20" s="58"/>
      <c r="D20" s="59">
        <f t="shared" si="0"/>
        <v>0</v>
      </c>
      <c r="E20" s="58"/>
      <c r="F20" s="58"/>
      <c r="G20" s="59">
        <f t="shared" si="1"/>
        <v>0</v>
      </c>
    </row>
    <row r="21" spans="1:7" ht="12">
      <c r="A21" s="62" t="s">
        <v>93</v>
      </c>
      <c r="B21" s="61">
        <f>47.75+22.98</f>
        <v>70.73</v>
      </c>
      <c r="C21" s="61">
        <f>286.5+16.72+325.55+39.12-0.96</f>
        <v>666.93</v>
      </c>
      <c r="D21" s="59">
        <f t="shared" si="0"/>
        <v>-596.1999999999999</v>
      </c>
      <c r="E21" s="61">
        <f>100.77+281.29</f>
        <v>382.06</v>
      </c>
      <c r="F21" s="61">
        <f>1792.12+234.19+355.79+8.16</f>
        <v>2390.2599999999998</v>
      </c>
      <c r="G21" s="59">
        <f t="shared" si="1"/>
        <v>-2008.1999999999998</v>
      </c>
    </row>
    <row r="22" spans="1:7" ht="12">
      <c r="A22" s="60" t="s">
        <v>91</v>
      </c>
      <c r="B22" s="61">
        <v>80</v>
      </c>
      <c r="C22" s="61"/>
      <c r="D22" s="59">
        <f t="shared" si="0"/>
        <v>80</v>
      </c>
      <c r="E22" s="61">
        <f>18236.88</f>
        <v>18236.88</v>
      </c>
      <c r="F22" s="61"/>
      <c r="G22" s="59">
        <f t="shared" si="1"/>
        <v>18236.88</v>
      </c>
    </row>
    <row r="23" spans="1:7" ht="12">
      <c r="A23" s="63" t="s">
        <v>105</v>
      </c>
      <c r="B23" s="61"/>
      <c r="C23" s="61">
        <v>12484.01</v>
      </c>
      <c r="D23" s="59">
        <f t="shared" si="0"/>
        <v>-12484.01</v>
      </c>
      <c r="E23" s="61"/>
      <c r="F23" s="61">
        <v>146627.12</v>
      </c>
      <c r="G23" s="59">
        <f t="shared" si="1"/>
        <v>-146627.12</v>
      </c>
    </row>
    <row r="24" spans="1:7" ht="12">
      <c r="A24" s="63" t="s">
        <v>106</v>
      </c>
      <c r="B24" s="61"/>
      <c r="C24" s="117">
        <v>893.37</v>
      </c>
      <c r="D24" s="59">
        <f t="shared" si="0"/>
        <v>-893.37</v>
      </c>
      <c r="E24" s="61"/>
      <c r="F24" s="117">
        <v>2888.95</v>
      </c>
      <c r="G24" s="59">
        <f t="shared" si="1"/>
        <v>-2888.95</v>
      </c>
    </row>
    <row r="25" spans="1:7" ht="12">
      <c r="A25" s="10" t="s">
        <v>167</v>
      </c>
      <c r="B25" s="61">
        <v>29.66</v>
      </c>
      <c r="C25" s="61">
        <v>81.26</v>
      </c>
      <c r="D25" s="59">
        <f t="shared" si="0"/>
        <v>-51.60000000000001</v>
      </c>
      <c r="E25" s="61">
        <f>38360.47+7209.82+0.01+6018.552</f>
        <v>51588.852</v>
      </c>
      <c r="F25" s="61">
        <f>9198.42+11602.17+49.12+82.06</f>
        <v>20931.77</v>
      </c>
      <c r="G25" s="59">
        <f t="shared" si="1"/>
        <v>30657.082</v>
      </c>
    </row>
    <row r="26" spans="1:7" ht="12">
      <c r="A26" s="60" t="s">
        <v>92</v>
      </c>
      <c r="B26" s="61"/>
      <c r="C26" s="61">
        <f>185+75+10</f>
        <v>270</v>
      </c>
      <c r="D26" s="59">
        <f t="shared" si="0"/>
        <v>-270</v>
      </c>
      <c r="E26" s="61"/>
      <c r="F26" s="61">
        <f>153.25+577.43+1449+146.75+22.57</f>
        <v>2349</v>
      </c>
      <c r="G26" s="59">
        <f t="shared" si="1"/>
        <v>-2349</v>
      </c>
    </row>
    <row r="27" spans="1:7" ht="12">
      <c r="A27" s="57" t="s">
        <v>123</v>
      </c>
      <c r="B27" s="59">
        <f aca="true" t="shared" si="3" ref="B27:G27">SUM(B19:B26)</f>
        <v>738740.35</v>
      </c>
      <c r="C27" s="59">
        <f t="shared" si="3"/>
        <v>73571.35999999999</v>
      </c>
      <c r="D27" s="59">
        <f t="shared" si="3"/>
        <v>665168.99</v>
      </c>
      <c r="E27" s="59">
        <f t="shared" si="3"/>
        <v>7264396.631999999</v>
      </c>
      <c r="F27" s="59">
        <f t="shared" si="3"/>
        <v>2166525.97</v>
      </c>
      <c r="G27" s="59">
        <f t="shared" si="3"/>
        <v>5097870.662</v>
      </c>
    </row>
    <row r="28" spans="1:7" ht="12">
      <c r="A28" s="64" t="s">
        <v>134</v>
      </c>
      <c r="B28" s="58"/>
      <c r="C28" s="58"/>
      <c r="D28" s="59"/>
      <c r="E28" s="58"/>
      <c r="F28" s="58"/>
      <c r="G28" s="59"/>
    </row>
    <row r="29" spans="1:7" ht="12">
      <c r="A29" s="60" t="s">
        <v>125</v>
      </c>
      <c r="B29" s="58"/>
      <c r="C29" s="58"/>
      <c r="D29" s="59">
        <f t="shared" si="0"/>
        <v>0</v>
      </c>
      <c r="E29" s="58"/>
      <c r="F29" s="58">
        <f>602.24+87.76</f>
        <v>690</v>
      </c>
      <c r="G29" s="59">
        <f t="shared" si="1"/>
        <v>-690</v>
      </c>
    </row>
    <row r="30" spans="1:7" ht="12">
      <c r="A30" s="60" t="s">
        <v>88</v>
      </c>
      <c r="B30" s="58"/>
      <c r="C30" s="58"/>
      <c r="D30" s="59">
        <f t="shared" si="0"/>
        <v>0</v>
      </c>
      <c r="E30" s="58"/>
      <c r="F30" s="58"/>
      <c r="G30" s="59">
        <f t="shared" si="1"/>
        <v>0</v>
      </c>
    </row>
    <row r="31" spans="1:7" ht="12">
      <c r="A31" s="60" t="s">
        <v>94</v>
      </c>
      <c r="B31" s="58"/>
      <c r="C31" s="58"/>
      <c r="D31" s="59">
        <f t="shared" si="0"/>
        <v>0</v>
      </c>
      <c r="E31" s="58"/>
      <c r="F31" s="58"/>
      <c r="G31" s="59">
        <f t="shared" si="1"/>
        <v>0</v>
      </c>
    </row>
    <row r="32" spans="1:7" ht="12">
      <c r="A32" s="60" t="s">
        <v>168</v>
      </c>
      <c r="B32" s="58"/>
      <c r="C32" s="58"/>
      <c r="D32" s="59">
        <f t="shared" si="0"/>
        <v>0</v>
      </c>
      <c r="E32" s="58"/>
      <c r="F32" s="58"/>
      <c r="G32" s="59">
        <f t="shared" si="1"/>
        <v>0</v>
      </c>
    </row>
    <row r="33" spans="1:7" ht="12">
      <c r="A33" s="60" t="s">
        <v>185</v>
      </c>
      <c r="B33" s="58"/>
      <c r="C33" s="58"/>
      <c r="D33" s="59">
        <f t="shared" si="0"/>
        <v>0</v>
      </c>
      <c r="E33" s="58"/>
      <c r="F33" s="58"/>
      <c r="G33" s="59">
        <f t="shared" si="1"/>
        <v>0</v>
      </c>
    </row>
    <row r="34" spans="1:7" ht="24">
      <c r="A34" s="57" t="s">
        <v>180</v>
      </c>
      <c r="B34" s="59">
        <f aca="true" t="shared" si="4" ref="B34:G34">SUM(B29:B33)</f>
        <v>0</v>
      </c>
      <c r="C34" s="59">
        <f t="shared" si="4"/>
        <v>0</v>
      </c>
      <c r="D34" s="59">
        <f t="shared" si="4"/>
        <v>0</v>
      </c>
      <c r="E34" s="59">
        <f t="shared" si="4"/>
        <v>0</v>
      </c>
      <c r="F34" s="59">
        <f t="shared" si="4"/>
        <v>690</v>
      </c>
      <c r="G34" s="59">
        <f t="shared" si="4"/>
        <v>-690</v>
      </c>
    </row>
    <row r="35" spans="1:7" ht="24">
      <c r="A35" s="57" t="s">
        <v>89</v>
      </c>
      <c r="B35" s="59">
        <f aca="true" t="shared" si="5" ref="B35:G35">+B17+B27+B34</f>
        <v>740346.44</v>
      </c>
      <c r="C35" s="59">
        <f t="shared" si="5"/>
        <v>1026335.9</v>
      </c>
      <c r="D35" s="59">
        <f t="shared" si="5"/>
        <v>-285989.4600000001</v>
      </c>
      <c r="E35" s="59">
        <f t="shared" si="5"/>
        <v>8268206.801999999</v>
      </c>
      <c r="F35" s="59">
        <f t="shared" si="5"/>
        <v>9442856.780000001</v>
      </c>
      <c r="G35" s="59">
        <f t="shared" si="5"/>
        <v>-1174649.978000001</v>
      </c>
    </row>
    <row r="36" spans="1:7" ht="12">
      <c r="A36" s="57" t="s">
        <v>90</v>
      </c>
      <c r="B36" s="59"/>
      <c r="C36" s="59"/>
      <c r="D36" s="59">
        <f>+G37</f>
        <v>504222.7319999989</v>
      </c>
      <c r="E36" s="59"/>
      <c r="F36" s="59"/>
      <c r="G36" s="59">
        <v>1678872.71</v>
      </c>
    </row>
    <row r="37" spans="1:7" ht="12">
      <c r="A37" s="64" t="s">
        <v>100</v>
      </c>
      <c r="B37" s="59"/>
      <c r="C37" s="59"/>
      <c r="D37" s="59">
        <f>SUM(D35:D36)</f>
        <v>218233.27199999883</v>
      </c>
      <c r="E37" s="59"/>
      <c r="F37" s="59"/>
      <c r="G37" s="59">
        <f>SUM(G35:G36)</f>
        <v>504222.7319999989</v>
      </c>
    </row>
    <row r="38" spans="1:7" ht="12">
      <c r="A38" s="60" t="s">
        <v>101</v>
      </c>
      <c r="B38" s="58"/>
      <c r="C38" s="58"/>
      <c r="D38" s="112">
        <f>41098.46+833.29</f>
        <v>41931.75</v>
      </c>
      <c r="E38" s="58"/>
      <c r="F38" s="58"/>
      <c r="G38" s="58">
        <v>44133</v>
      </c>
    </row>
    <row r="39" spans="2:8" ht="12">
      <c r="B39" s="65"/>
      <c r="C39" s="65"/>
      <c r="D39" s="65"/>
      <c r="E39" s="65"/>
      <c r="F39" s="65"/>
      <c r="G39" s="65"/>
      <c r="H39" s="2"/>
    </row>
    <row r="40" spans="1:8" ht="12">
      <c r="A40" s="47" t="str">
        <f>'справка № 1-КИС-БАЛАНС'!A49</f>
        <v>Дата:21.04.2009г.</v>
      </c>
      <c r="B40" s="139" t="s">
        <v>98</v>
      </c>
      <c r="C40" s="139"/>
      <c r="D40" s="48"/>
      <c r="E40" s="139" t="s">
        <v>99</v>
      </c>
      <c r="F40" s="139"/>
      <c r="G40" s="48"/>
      <c r="H40" s="2"/>
    </row>
    <row r="41" spans="2:8" ht="15" customHeight="1">
      <c r="B41" s="132" t="str">
        <f>'[1]справка № 1-КИС-БАЛАНС'!C48</f>
        <v>/Eлеонора Стоева/</v>
      </c>
      <c r="C41" s="132"/>
      <c r="D41" s="65"/>
      <c r="E41" s="65"/>
      <c r="F41" s="133" t="str">
        <f>'[1]справка № 1-КИС-БАЛАНС'!D48</f>
        <v>/Стоян Тошев/</v>
      </c>
      <c r="G41" s="133"/>
      <c r="H41" s="2"/>
    </row>
    <row r="42" spans="2:8" ht="12">
      <c r="B42" s="65"/>
      <c r="C42" s="65"/>
      <c r="D42" s="65"/>
      <c r="E42" s="65"/>
      <c r="F42" s="65"/>
      <c r="G42" s="65"/>
      <c r="H42" s="2"/>
    </row>
    <row r="43" spans="2:8" ht="12">
      <c r="B43" s="65"/>
      <c r="C43" s="65"/>
      <c r="D43" s="65"/>
      <c r="E43" s="65"/>
      <c r="F43" s="65"/>
      <c r="G43" s="65"/>
      <c r="H43" s="2"/>
    </row>
    <row r="44" spans="2:8" ht="12">
      <c r="B44" s="65"/>
      <c r="C44" s="65"/>
      <c r="D44" s="65"/>
      <c r="E44" s="65"/>
      <c r="F44" s="65"/>
      <c r="G44" s="65"/>
      <c r="H44" s="2"/>
    </row>
    <row r="45" spans="2:8" ht="12">
      <c r="B45" s="65"/>
      <c r="C45" s="65"/>
      <c r="D45" s="65"/>
      <c r="E45" s="65"/>
      <c r="F45" s="65"/>
      <c r="G45" s="65"/>
      <c r="H45" s="2"/>
    </row>
    <row r="46" spans="2:8" ht="12">
      <c r="B46" s="31"/>
      <c r="C46" s="31"/>
      <c r="D46" s="31"/>
      <c r="E46" s="31"/>
      <c r="F46" s="31"/>
      <c r="G46" s="31"/>
      <c r="H46" s="2"/>
    </row>
    <row r="47" spans="2:7" ht="12">
      <c r="B47" s="48"/>
      <c r="C47" s="48"/>
      <c r="D47" s="48"/>
      <c r="E47" s="48"/>
      <c r="F47" s="48"/>
      <c r="G47" s="48"/>
    </row>
    <row r="48" spans="2:7" ht="12">
      <c r="B48" s="48"/>
      <c r="C48" s="48"/>
      <c r="D48" s="48"/>
      <c r="E48" s="48"/>
      <c r="F48" s="48"/>
      <c r="G48" s="48"/>
    </row>
  </sheetData>
  <sheetProtection password="CC60" sheet="1" objects="1" scenarios="1"/>
  <mergeCells count="10">
    <mergeCell ref="B41:C41"/>
    <mergeCell ref="F41:G41"/>
    <mergeCell ref="E1:F1"/>
    <mergeCell ref="A7:A8"/>
    <mergeCell ref="A2:F2"/>
    <mergeCell ref="B40:C40"/>
    <mergeCell ref="E40:F40"/>
    <mergeCell ref="B7:D7"/>
    <mergeCell ref="E7:G7"/>
    <mergeCell ref="D4:F4"/>
  </mergeCells>
  <printOptions horizontalCentered="1"/>
  <pageMargins left="0" right="0" top="0.3937007874015748" bottom="0.31496062992125984" header="0.1968503937007874" footer="0.03937007874015748"/>
  <pageSetup fitToHeight="1" fitToWidth="1" horizontalDpi="300" verticalDpi="300" orientation="portrait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 topLeftCell="A11">
      <selection activeCell="F15" sqref="F15"/>
    </sheetView>
  </sheetViews>
  <sheetFormatPr defaultColWidth="9.140625" defaultRowHeight="12.75"/>
  <cols>
    <col min="1" max="1" width="25.421875" style="66" customWidth="1"/>
    <col min="2" max="2" width="10.28125" style="77" customWidth="1"/>
    <col min="3" max="3" width="10.7109375" style="77" customWidth="1"/>
    <col min="4" max="4" width="10.140625" style="77" customWidth="1"/>
    <col min="5" max="5" width="12.140625" style="77" customWidth="1"/>
    <col min="6" max="6" width="9.8515625" style="77" customWidth="1"/>
    <col min="7" max="7" width="13.421875" style="77" customWidth="1"/>
    <col min="8" max="8" width="12.00390625" style="77" customWidth="1"/>
    <col min="9" max="16384" width="9.140625" style="3" customWidth="1"/>
  </cols>
  <sheetData>
    <row r="1" spans="6:8" ht="12">
      <c r="F1" s="92"/>
      <c r="G1" s="92" t="s">
        <v>169</v>
      </c>
      <c r="H1" s="92"/>
    </row>
    <row r="3" spans="1:8" ht="19.5" customHeight="1">
      <c r="A3" s="148" t="s">
        <v>55</v>
      </c>
      <c r="B3" s="148"/>
      <c r="C3" s="148"/>
      <c r="D3" s="148"/>
      <c r="E3" s="148"/>
      <c r="F3" s="148"/>
      <c r="G3" s="148"/>
      <c r="H3" s="148"/>
    </row>
    <row r="4" spans="1:8" ht="12">
      <c r="A4" s="6"/>
      <c r="B4" s="93"/>
      <c r="C4" s="93"/>
      <c r="D4" s="93"/>
      <c r="E4" s="93"/>
      <c r="F4" s="93"/>
      <c r="G4" s="93"/>
      <c r="H4" s="94"/>
    </row>
    <row r="5" spans="1:8" ht="14.25" customHeight="1">
      <c r="A5" s="144" t="str">
        <f>'[1]справка № 1-КИС-БАЛАНС'!A3:C3</f>
        <v>Наименование на КИС:ТИ БИ АЙ КОМФОРТ ДФ</v>
      </c>
      <c r="B5" s="144"/>
      <c r="C5" s="144"/>
      <c r="D5" s="95"/>
      <c r="E5" s="95"/>
      <c r="F5" s="157" t="str">
        <f>'[1]справка № 1-КИС-БАЛАНС'!D3</f>
        <v>ЕИК по БУЛСТАТ: 131569431</v>
      </c>
      <c r="G5" s="157"/>
      <c r="H5" s="157"/>
    </row>
    <row r="6" spans="1:8" ht="12">
      <c r="A6" s="144" t="str">
        <f>'справка № 1-КИС-БАЛАНС'!A6</f>
        <v>Отчетен период: 31.03.2009г.</v>
      </c>
      <c r="B6" s="144"/>
      <c r="C6" s="95"/>
      <c r="D6" s="95"/>
      <c r="E6" s="96"/>
      <c r="F6" s="96"/>
      <c r="G6" s="96"/>
      <c r="H6" s="97"/>
    </row>
    <row r="7" spans="1:8" ht="12">
      <c r="A7" s="7"/>
      <c r="B7" s="95"/>
      <c r="C7" s="95"/>
      <c r="D7" s="95"/>
      <c r="E7" s="96"/>
      <c r="F7" s="96"/>
      <c r="G7" s="96"/>
      <c r="H7" s="97"/>
    </row>
    <row r="8" spans="1:8" ht="12">
      <c r="A8" s="8"/>
      <c r="B8" s="98"/>
      <c r="C8" s="98"/>
      <c r="D8" s="98"/>
      <c r="E8" s="99"/>
      <c r="F8" s="99"/>
      <c r="G8" s="99"/>
      <c r="H8" s="100" t="s">
        <v>56</v>
      </c>
    </row>
    <row r="9" spans="1:8" ht="32.25" customHeight="1">
      <c r="A9" s="145" t="s">
        <v>57</v>
      </c>
      <c r="B9" s="142" t="s">
        <v>61</v>
      </c>
      <c r="C9" s="149" t="s">
        <v>58</v>
      </c>
      <c r="D9" s="156"/>
      <c r="E9" s="156"/>
      <c r="F9" s="149" t="s">
        <v>59</v>
      </c>
      <c r="G9" s="150"/>
      <c r="H9" s="142" t="s">
        <v>60</v>
      </c>
    </row>
    <row r="10" spans="1:8" ht="12.75" customHeight="1">
      <c r="A10" s="146"/>
      <c r="B10" s="154"/>
      <c r="C10" s="152" t="s">
        <v>62</v>
      </c>
      <c r="D10" s="142" t="s">
        <v>63</v>
      </c>
      <c r="E10" s="142" t="s">
        <v>127</v>
      </c>
      <c r="F10" s="142" t="s">
        <v>64</v>
      </c>
      <c r="G10" s="142" t="s">
        <v>65</v>
      </c>
      <c r="H10" s="151"/>
    </row>
    <row r="11" spans="1:8" ht="60" customHeight="1">
      <c r="A11" s="147"/>
      <c r="B11" s="155"/>
      <c r="C11" s="153"/>
      <c r="D11" s="155"/>
      <c r="E11" s="143"/>
      <c r="F11" s="143"/>
      <c r="G11" s="143"/>
      <c r="H11" s="143"/>
    </row>
    <row r="12" spans="1:8" s="25" customFormat="1" ht="12">
      <c r="A12" s="67" t="s">
        <v>6</v>
      </c>
      <c r="B12" s="90">
        <v>1</v>
      </c>
      <c r="C12" s="90">
        <v>2</v>
      </c>
      <c r="D12" s="90">
        <v>3</v>
      </c>
      <c r="E12" s="90">
        <v>4</v>
      </c>
      <c r="F12" s="90">
        <v>5</v>
      </c>
      <c r="G12" s="90">
        <v>6</v>
      </c>
      <c r="H12" s="90">
        <v>7</v>
      </c>
    </row>
    <row r="13" spans="1:8" s="25" customFormat="1" ht="24">
      <c r="A13" s="68" t="s">
        <v>107</v>
      </c>
      <c r="B13" s="105"/>
      <c r="C13" s="105"/>
      <c r="D13" s="105"/>
      <c r="E13" s="105"/>
      <c r="F13" s="105"/>
      <c r="G13" s="105"/>
      <c r="H13" s="105"/>
    </row>
    <row r="14" spans="1:8" s="25" customFormat="1" ht="24">
      <c r="A14" s="68" t="s">
        <v>108</v>
      </c>
      <c r="B14" s="105">
        <v>6876197</v>
      </c>
      <c r="C14" s="105">
        <v>916284.6</v>
      </c>
      <c r="D14" s="105"/>
      <c r="E14" s="105"/>
      <c r="F14" s="105">
        <v>2080323</v>
      </c>
      <c r="G14" s="105"/>
      <c r="H14" s="105">
        <v>9872804.6</v>
      </c>
    </row>
    <row r="15" spans="1:8" s="25" customFormat="1" ht="24">
      <c r="A15" s="68" t="s">
        <v>66</v>
      </c>
      <c r="B15" s="105">
        <v>1961653.88</v>
      </c>
      <c r="C15" s="105">
        <v>-488972.3</v>
      </c>
      <c r="D15" s="105">
        <v>0</v>
      </c>
      <c r="E15" s="105">
        <v>0</v>
      </c>
      <c r="F15" s="105">
        <v>930142</v>
      </c>
      <c r="G15" s="105"/>
      <c r="H15" s="105">
        <v>2402823.58</v>
      </c>
    </row>
    <row r="16" spans="1:8" s="25" customFormat="1" ht="24">
      <c r="A16" s="68" t="s">
        <v>67</v>
      </c>
      <c r="B16" s="106">
        <f aca="true" t="shared" si="0" ref="B16:G16">SUM(B17:B18)</f>
        <v>0</v>
      </c>
      <c r="C16" s="106">
        <f t="shared" si="0"/>
        <v>0</v>
      </c>
      <c r="D16" s="106">
        <f t="shared" si="0"/>
        <v>0</v>
      </c>
      <c r="E16" s="106">
        <f t="shared" si="0"/>
        <v>0</v>
      </c>
      <c r="F16" s="106">
        <f t="shared" si="0"/>
        <v>0</v>
      </c>
      <c r="G16" s="106">
        <f t="shared" si="0"/>
        <v>0</v>
      </c>
      <c r="H16" s="105">
        <f>+H17+H18</f>
        <v>0</v>
      </c>
    </row>
    <row r="17" spans="1:8" ht="24">
      <c r="A17" s="69" t="s">
        <v>68</v>
      </c>
      <c r="B17" s="107"/>
      <c r="C17" s="107"/>
      <c r="D17" s="107"/>
      <c r="E17" s="107"/>
      <c r="F17" s="107"/>
      <c r="G17" s="107"/>
      <c r="H17" s="105">
        <f>SUM(B17:F17)-G17</f>
        <v>0</v>
      </c>
    </row>
    <row r="18" spans="1:8" ht="12">
      <c r="A18" s="69" t="s">
        <v>69</v>
      </c>
      <c r="B18" s="108"/>
      <c r="C18" s="108"/>
      <c r="D18" s="108"/>
      <c r="E18" s="108"/>
      <c r="F18" s="108"/>
      <c r="G18" s="108"/>
      <c r="H18" s="105">
        <f>SUM(B18:F18)-G18</f>
        <v>0</v>
      </c>
    </row>
    <row r="19" spans="1:8" ht="24">
      <c r="A19" s="68" t="s">
        <v>70</v>
      </c>
      <c r="B19" s="108"/>
      <c r="C19" s="108"/>
      <c r="D19" s="108"/>
      <c r="E19" s="108"/>
      <c r="F19" s="108"/>
      <c r="G19" s="108"/>
      <c r="H19" s="105">
        <f>SUM(B19:F19)-G19</f>
        <v>0</v>
      </c>
    </row>
    <row r="20" spans="1:8" ht="34.5" customHeight="1">
      <c r="A20" s="68" t="s">
        <v>170</v>
      </c>
      <c r="B20" s="106">
        <f aca="true" t="shared" si="1" ref="B20:H20">+B21-B22</f>
        <v>-803164.37</v>
      </c>
      <c r="C20" s="106">
        <f t="shared" si="1"/>
        <v>-152574.43</v>
      </c>
      <c r="D20" s="106">
        <f t="shared" si="1"/>
        <v>0</v>
      </c>
      <c r="E20" s="106">
        <f t="shared" si="1"/>
        <v>0</v>
      </c>
      <c r="F20" s="106">
        <f t="shared" si="1"/>
        <v>0</v>
      </c>
      <c r="G20" s="106">
        <f t="shared" si="1"/>
        <v>0</v>
      </c>
      <c r="H20" s="105">
        <f t="shared" si="1"/>
        <v>-955738.8</v>
      </c>
    </row>
    <row r="21" spans="1:8" ht="12">
      <c r="A21" s="69" t="s">
        <v>128</v>
      </c>
      <c r="B21" s="107">
        <v>1296.78</v>
      </c>
      <c r="C21" s="107">
        <v>285.57</v>
      </c>
      <c r="D21" s="107"/>
      <c r="E21" s="107"/>
      <c r="F21" s="107"/>
      <c r="G21" s="107"/>
      <c r="H21" s="105">
        <f aca="true" t="shared" si="2" ref="H21:H36">SUM(B21:F21)-G21</f>
        <v>1582.35</v>
      </c>
    </row>
    <row r="22" spans="1:8" ht="12">
      <c r="A22" s="69" t="s">
        <v>129</v>
      </c>
      <c r="B22" s="107">
        <v>804461.15</v>
      </c>
      <c r="C22" s="107">
        <v>152860</v>
      </c>
      <c r="D22" s="107"/>
      <c r="E22" s="107"/>
      <c r="F22" s="107"/>
      <c r="G22" s="107"/>
      <c r="H22" s="105">
        <f t="shared" si="2"/>
        <v>957321.15</v>
      </c>
    </row>
    <row r="23" spans="1:8" ht="24">
      <c r="A23" s="68" t="s">
        <v>71</v>
      </c>
      <c r="B23" s="107"/>
      <c r="C23" s="107"/>
      <c r="D23" s="107"/>
      <c r="E23" s="107"/>
      <c r="F23" s="107"/>
      <c r="G23" s="107">
        <v>83848.88</v>
      </c>
      <c r="H23" s="105">
        <f t="shared" si="2"/>
        <v>-83848.88</v>
      </c>
    </row>
    <row r="24" spans="1:8" ht="12">
      <c r="A24" s="69" t="s">
        <v>72</v>
      </c>
      <c r="B24" s="109">
        <f aca="true" t="shared" si="3" ref="B24:G24">SUM(B25:B26)</f>
        <v>0</v>
      </c>
      <c r="C24" s="109">
        <f t="shared" si="3"/>
        <v>0</v>
      </c>
      <c r="D24" s="109">
        <f t="shared" si="3"/>
        <v>0</v>
      </c>
      <c r="E24" s="109">
        <f t="shared" si="3"/>
        <v>0</v>
      </c>
      <c r="F24" s="109">
        <f t="shared" si="3"/>
        <v>0</v>
      </c>
      <c r="G24" s="109">
        <f t="shared" si="3"/>
        <v>0</v>
      </c>
      <c r="H24" s="105">
        <f t="shared" si="2"/>
        <v>0</v>
      </c>
    </row>
    <row r="25" spans="1:8" ht="12">
      <c r="A25" s="69" t="s">
        <v>73</v>
      </c>
      <c r="B25" s="107"/>
      <c r="C25" s="107"/>
      <c r="D25" s="107"/>
      <c r="E25" s="107"/>
      <c r="F25" s="107"/>
      <c r="G25" s="107"/>
      <c r="H25" s="105">
        <f t="shared" si="2"/>
        <v>0</v>
      </c>
    </row>
    <row r="26" spans="1:8" ht="12">
      <c r="A26" s="69" t="s">
        <v>74</v>
      </c>
      <c r="B26" s="108"/>
      <c r="C26" s="108"/>
      <c r="D26" s="108"/>
      <c r="E26" s="108"/>
      <c r="F26" s="108"/>
      <c r="G26" s="108"/>
      <c r="H26" s="105">
        <f t="shared" si="2"/>
        <v>0</v>
      </c>
    </row>
    <row r="27" spans="1:8" ht="12">
      <c r="A27" s="69" t="s">
        <v>75</v>
      </c>
      <c r="B27" s="108"/>
      <c r="C27" s="108"/>
      <c r="D27" s="108"/>
      <c r="E27" s="108"/>
      <c r="F27" s="108"/>
      <c r="G27" s="108"/>
      <c r="H27" s="105">
        <f t="shared" si="2"/>
        <v>0</v>
      </c>
    </row>
    <row r="28" spans="1:8" ht="36">
      <c r="A28" s="69" t="s">
        <v>171</v>
      </c>
      <c r="B28" s="109">
        <f aca="true" t="shared" si="4" ref="B28:G28">SUM(B29:B30)</f>
        <v>0</v>
      </c>
      <c r="C28" s="109">
        <f t="shared" si="4"/>
        <v>0</v>
      </c>
      <c r="D28" s="109">
        <f t="shared" si="4"/>
        <v>0</v>
      </c>
      <c r="E28" s="109">
        <f t="shared" si="4"/>
        <v>0</v>
      </c>
      <c r="F28" s="109">
        <f t="shared" si="4"/>
        <v>0</v>
      </c>
      <c r="G28" s="109">
        <f t="shared" si="4"/>
        <v>0</v>
      </c>
      <c r="H28" s="105">
        <f t="shared" si="2"/>
        <v>0</v>
      </c>
    </row>
    <row r="29" spans="1:8" ht="12">
      <c r="A29" s="69" t="s">
        <v>76</v>
      </c>
      <c r="B29" s="107"/>
      <c r="C29" s="107"/>
      <c r="D29" s="107"/>
      <c r="E29" s="107"/>
      <c r="F29" s="107"/>
      <c r="G29" s="107"/>
      <c r="H29" s="105">
        <f t="shared" si="2"/>
        <v>0</v>
      </c>
    </row>
    <row r="30" spans="1:8" ht="12">
      <c r="A30" s="69" t="s">
        <v>77</v>
      </c>
      <c r="B30" s="108"/>
      <c r="C30" s="108"/>
      <c r="D30" s="108"/>
      <c r="E30" s="108"/>
      <c r="F30" s="108"/>
      <c r="G30" s="108"/>
      <c r="H30" s="105">
        <f t="shared" si="2"/>
        <v>0</v>
      </c>
    </row>
    <row r="31" spans="1:8" ht="36">
      <c r="A31" s="69" t="s">
        <v>172</v>
      </c>
      <c r="B31" s="109">
        <f aca="true" t="shared" si="5" ref="B31:G31">SUM(B32:B33)</f>
        <v>0</v>
      </c>
      <c r="C31" s="109">
        <f t="shared" si="5"/>
        <v>0</v>
      </c>
      <c r="D31" s="109">
        <f t="shared" si="5"/>
        <v>0</v>
      </c>
      <c r="E31" s="109">
        <f t="shared" si="5"/>
        <v>0</v>
      </c>
      <c r="F31" s="109">
        <f t="shared" si="5"/>
        <v>0</v>
      </c>
      <c r="G31" s="109">
        <f t="shared" si="5"/>
        <v>0</v>
      </c>
      <c r="H31" s="105">
        <f t="shared" si="2"/>
        <v>0</v>
      </c>
    </row>
    <row r="32" spans="1:8" ht="12">
      <c r="A32" s="69" t="s">
        <v>76</v>
      </c>
      <c r="B32" s="107"/>
      <c r="C32" s="107"/>
      <c r="D32" s="107"/>
      <c r="E32" s="107"/>
      <c r="F32" s="107"/>
      <c r="G32" s="107"/>
      <c r="H32" s="105">
        <f t="shared" si="2"/>
        <v>0</v>
      </c>
    </row>
    <row r="33" spans="1:8" ht="12">
      <c r="A33" s="69" t="s">
        <v>77</v>
      </c>
      <c r="B33" s="108"/>
      <c r="C33" s="108"/>
      <c r="D33" s="108"/>
      <c r="E33" s="108"/>
      <c r="F33" s="108"/>
      <c r="G33" s="108"/>
      <c r="H33" s="105">
        <f t="shared" si="2"/>
        <v>0</v>
      </c>
    </row>
    <row r="34" spans="1:8" ht="12">
      <c r="A34" s="69" t="s">
        <v>130</v>
      </c>
      <c r="B34" s="108"/>
      <c r="C34" s="108"/>
      <c r="D34" s="108"/>
      <c r="E34" s="108"/>
      <c r="F34" s="108"/>
      <c r="G34" s="108"/>
      <c r="H34" s="105">
        <f t="shared" si="2"/>
        <v>0</v>
      </c>
    </row>
    <row r="35" spans="1:8" ht="24">
      <c r="A35" s="68" t="s">
        <v>78</v>
      </c>
      <c r="B35" s="109">
        <f aca="true" t="shared" si="6" ref="B35:G35">+B15+B16+B19+B20+B23+B24+B27+B28+B31+B34</f>
        <v>1158489.5099999998</v>
      </c>
      <c r="C35" s="109">
        <f t="shared" si="6"/>
        <v>-641546.73</v>
      </c>
      <c r="D35" s="109">
        <f t="shared" si="6"/>
        <v>0</v>
      </c>
      <c r="E35" s="109">
        <f t="shared" si="6"/>
        <v>0</v>
      </c>
      <c r="F35" s="109">
        <f t="shared" si="6"/>
        <v>930142</v>
      </c>
      <c r="G35" s="109">
        <f t="shared" si="6"/>
        <v>83848.88</v>
      </c>
      <c r="H35" s="105">
        <f t="shared" si="2"/>
        <v>1363235.9</v>
      </c>
    </row>
    <row r="36" spans="1:8" ht="14.25" customHeight="1">
      <c r="A36" s="69" t="s">
        <v>137</v>
      </c>
      <c r="B36" s="107"/>
      <c r="C36" s="107"/>
      <c r="D36" s="107"/>
      <c r="E36" s="107"/>
      <c r="F36" s="107"/>
      <c r="G36" s="107"/>
      <c r="H36" s="105">
        <f t="shared" si="2"/>
        <v>0</v>
      </c>
    </row>
    <row r="37" spans="1:8" ht="24">
      <c r="A37" s="70" t="s">
        <v>79</v>
      </c>
      <c r="B37" s="109">
        <f>+B35</f>
        <v>1158489.5099999998</v>
      </c>
      <c r="C37" s="109">
        <f aca="true" t="shared" si="7" ref="C37:H37">+C35</f>
        <v>-641546.73</v>
      </c>
      <c r="D37" s="109">
        <f t="shared" si="7"/>
        <v>0</v>
      </c>
      <c r="E37" s="109">
        <f t="shared" si="7"/>
        <v>0</v>
      </c>
      <c r="F37" s="109">
        <f t="shared" si="7"/>
        <v>930142</v>
      </c>
      <c r="G37" s="109">
        <f t="shared" si="7"/>
        <v>83848.88</v>
      </c>
      <c r="H37" s="109">
        <f t="shared" si="7"/>
        <v>1363235.9</v>
      </c>
    </row>
    <row r="39" spans="1:8" ht="21" customHeight="1">
      <c r="A39" s="71" t="str">
        <f>'справка № 1-КИС-БАЛАНС'!A49</f>
        <v>Дата:21.04.2009г.</v>
      </c>
      <c r="B39" s="101"/>
      <c r="C39" s="101"/>
      <c r="D39" s="102" t="s">
        <v>80</v>
      </c>
      <c r="E39" s="103"/>
      <c r="F39" s="103"/>
      <c r="G39" s="102" t="s">
        <v>173</v>
      </c>
      <c r="H39" s="104"/>
    </row>
    <row r="40" spans="5:9" ht="21" customHeight="1">
      <c r="E40" s="77" t="str">
        <f>'[1]справка № 1-КИС-БАЛАНС'!C48</f>
        <v>/Eлеонора Стоева/</v>
      </c>
      <c r="H40" s="77" t="str">
        <f>'[1]справка № 1-КИС-БАЛАНС'!D48</f>
        <v>/Стоян Тошев/</v>
      </c>
      <c r="I40" s="2"/>
    </row>
    <row r="41" spans="2:9" ht="12">
      <c r="B41" s="72"/>
      <c r="C41" s="72"/>
      <c r="D41" s="72"/>
      <c r="E41" s="72"/>
      <c r="F41" s="72"/>
      <c r="G41" s="72"/>
      <c r="H41" s="72"/>
      <c r="I41" s="2"/>
    </row>
    <row r="42" spans="1:8" ht="12">
      <c r="A42" s="73"/>
      <c r="B42" s="74"/>
      <c r="C42" s="74"/>
      <c r="D42" s="74"/>
      <c r="E42" s="74"/>
      <c r="F42" s="74"/>
      <c r="G42" s="74"/>
      <c r="H42" s="74"/>
    </row>
    <row r="43" spans="1:8" ht="12">
      <c r="A43" s="73"/>
      <c r="B43" s="74"/>
      <c r="C43" s="74"/>
      <c r="D43" s="74"/>
      <c r="E43" s="74"/>
      <c r="F43" s="74"/>
      <c r="G43" s="74"/>
      <c r="H43" s="74"/>
    </row>
    <row r="44" ht="15" customHeight="1"/>
  </sheetData>
  <sheetProtection password="CC60" sheet="1" objects="1" scenarios="1"/>
  <mergeCells count="14">
    <mergeCell ref="A3:H3"/>
    <mergeCell ref="F9:G9"/>
    <mergeCell ref="H9:H11"/>
    <mergeCell ref="F10:F11"/>
    <mergeCell ref="C10:C11"/>
    <mergeCell ref="G10:G11"/>
    <mergeCell ref="B9:B11"/>
    <mergeCell ref="C9:E9"/>
    <mergeCell ref="D10:D11"/>
    <mergeCell ref="F5:H5"/>
    <mergeCell ref="E10:E11"/>
    <mergeCell ref="A6:B6"/>
    <mergeCell ref="A5:C5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8:G19 B26:G28 B35:G35 B37:H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3:G34 B30:G31">
      <formula1>0</formula1>
      <formula2>9999999999999990</formula2>
    </dataValidation>
  </dataValidations>
  <printOptions horizontalCentered="1"/>
  <pageMargins left="0" right="0" top="0.7480314960629921" bottom="0.3937007874015748" header="0.5118110236220472" footer="0.31496062992125984"/>
  <pageSetup fitToHeight="1" fitToWidth="1" horizontalDpi="300" verticalDpi="300" orientation="portrait" scale="93" r:id="rId1"/>
  <headerFooter alignWithMargins="0">
    <oddFooter>&amp;C&amp;P</oddFooter>
  </headerFooter>
  <ignoredErrors>
    <ignoredError sqref="C37 B35:C35 G37 B24 B2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i_sirashka</cp:lastModifiedBy>
  <cp:lastPrinted>2009-04-28T12:37:12Z</cp:lastPrinted>
  <dcterms:created xsi:type="dcterms:W3CDTF">2004-03-04T10:58:58Z</dcterms:created>
  <dcterms:modified xsi:type="dcterms:W3CDTF">2009-06-16T13:19:36Z</dcterms:modified>
  <cp:category/>
  <cp:version/>
  <cp:contentType/>
  <cp:contentStatus/>
</cp:coreProperties>
</file>