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65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<sst xmlns="http://schemas.openxmlformats.org/spreadsheetml/2006/main" count="1050" uniqueCount="876">
  <si>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</si>
  <si>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</si>
  <si>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</si>
  <si>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</si>
  <si>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</si>
  <si>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</si>
  <si>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</si>
  <si>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</si>
  <si>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</si>
  <si>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</si>
  <si>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</si>
  <si>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</si>
  <si>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</si>
  <si>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</si>
  <si>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</si>
  <si>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</si>
  <si>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</si>
  <si>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</si>
  <si>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</si>
  <si>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</si>
  <si>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</si>
  <si>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</si>
  <si>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</si>
  <si>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</si>
  <si>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</si>
  <si>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</si>
  <si>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</si>
  <si>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</si>
  <si>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</si>
  <si>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</si>
  <si>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</si>
  <si>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</si>
  <si>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</si>
  <si>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</si>
  <si>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</si>
  <si>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</si>
  <si>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</si>
  <si>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</si>
  <si>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</si>
  <si>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</si>
  <si>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</si>
  <si>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</si>
  <si>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</si>
  <si>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</si>
  <si>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</si>
  <si>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</si>
  <si>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</si>
  <si>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</si>
  <si>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</si>
  <si>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</si>
  <si>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</si>
  <si>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</si>
  <si>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</si>
  <si>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</si>
  <si>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</si>
  <si>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</si>
  <si>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</si>
  <si>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</si>
  <si>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</si>
  <si>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</si>
  <si>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</si>
  <si>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</si>
  <si>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</si>
  <si>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</si>
  <si>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</si>
  <si>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</si>
  <si>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</si>
  <si>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</si>
  <si>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</si>
  <si>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</si>
  <si>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</si>
  <si>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</si>
  <si>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</si>
  <si>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</si>
  <si>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</si>
  <si>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</si>
  <si>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</si>
  <si>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</si>
  <si>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</si>
  <si>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</si>
  <si>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</si>
  <si>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</si>
  <si>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</si>
  <si>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</si>
  <si>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</si>
  <si>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</si>
  <si>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</si>
  <si>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</si>
  <si>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</si>
  <si>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</si>
  <si>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</si>
  <si>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</si>
  <si>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</si>
  <si>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</si>
  <si>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</si>
  <si>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</si>
  <si>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</si>
  <si>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</si>
  <si>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</si>
  <si>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</si>
  <si>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</si>
  <si>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</si>
  <si>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</si>
  <si>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</si>
  <si>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</si>
  <si>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</si>
  <si>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</si>
  <si>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</si>
  <si>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</si>
  <si>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</si>
  <si>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</si>
  <si>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</si>
  <si>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</si>
  <si>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</si>
  <si>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</si>
  <si>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</si>
  <si>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</si>
  <si>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</si>
  <si>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</si>
  <si>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</si>
  <si>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</si>
  <si>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</si>
  <si>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</si>
  <si>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</si>
  <si>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</si>
  <si>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</si>
  <si>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</si>
  <si>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</si>
  <si>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</si>
  <si>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</si>
  <si>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</si>
  <si>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</si>
  <si>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</si>
  <si>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</si>
  <si>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</si>
  <si>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</si>
  <si>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</si>
  <si>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</si>
  <si>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</si>
  <si>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</si>
  <si>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</si>
  <si>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</si>
  <si>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</si>
  <si>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</si>
  <si>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</si>
  <si>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</si>
  <si>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</si>
  <si>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</si>
  <si>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</si>
  <si>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</si>
  <si>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</si>
  <si>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</si>
  <si>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</si>
  <si>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</si>
  <si>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</si>
  <si>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</si>
  <si>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</si>
  <si>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</si>
  <si>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</si>
  <si>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</si>
  <si>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</si>
  <si>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</si>
  <si>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</si>
  <si>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</si>
  <si>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</si>
  <si>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</si>
  <si>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</si>
  <si>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</si>
  <si>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</si>
  <si>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</si>
  <si>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</si>
  <si>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</si>
  <si>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</si>
  <si>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</si>
  <si>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</si>
  <si>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</si>
  <si>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</si>
  <si>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</si>
  <si>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</si>
  <si>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</si>
  <si>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</si>
  <si>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</si>
  <si>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</si>
  <si>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</si>
  <si>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</si>
  <si>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</si>
  <si>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</si>
  <si>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</si>
  <si>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</si>
  <si>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</si>
  <si>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</si>
  <si>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</si>
  <si>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</si>
  <si>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</si>
  <si>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</si>
  <si>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</si>
  <si>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</si>
  <si>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</si>
  <si>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</si>
  <si>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</si>
  <si>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</si>
  <si>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</si>
  <si>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</si>
  <si>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</si>
  <si>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</si>
  <si>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</si>
  <si>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</si>
  <si>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</si>
  <si>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</si>
  <si>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</si>
  <si>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</si>
  <si>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</si>
  <si>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</si>
  <si>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</si>
  <si>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</si>
  <si>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</si>
  <si>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</si>
  <si>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</si>
  <si>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</si>
  <si>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</si>
  <si>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</si>
  <si>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</si>
  <si>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</si>
  <si>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</si>
  <si>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</si>
  <si>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</si>
  <si>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</si>
  <si>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</si>
  <si>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</si>
  <si>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</si>
  <si>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</si>
  <si>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</si>
  <si>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</si>
  <si>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</si>
  <si>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</si>
  <si>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</si>
  <si>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</si>
  <si>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</si>
  <si>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</si>
  <si>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</si>
  <si>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</si>
  <si>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</si>
  <si>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</si>
  <si>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</si>
  <si>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</si>
  <si>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</si>
  <si>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</si>
  <si>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</si>
  <si>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</si>
  <si>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</si>
  <si>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</si>
  <si>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</si>
  <si>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</si>
  <si>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</si>
  <si>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</si>
  <si>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</si>
  <si>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</si>
  <si>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</si>
  <si>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</si>
  <si>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</si>
  <si>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</si>
  <si>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</si>
  <si>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</si>
  <si>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</si>
  <si>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</si>
  <si>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</si>
  <si>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</si>
  <si>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</si>
  <si>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</si>
  <si>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</si>
  <si>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</si>
  <si>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</si>
  <si>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</si>
  <si>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</si>
  <si>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</si>
  <si>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</si>
  <si>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</si>
  <si>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</si>
  <si>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</si>
  <si>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</si>
  <si>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</si>
  <si>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</si>
  <si>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</si>
  <si>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</si>
  <si>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</si>
  <si>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</si>
  <si>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</si>
  <si>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</si>
  <si>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</si>
  <si>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</si>
  <si>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</si>
  <si>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</si>
  <si>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</si>
  <si>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</si>
  <si>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</si>
  <si>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</si>
  <si>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</si>
  <si>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</si>
  <si>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</si>
  <si>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</si>
  <si>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</si>
  <si>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</si>
  <si>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</si>
  <si>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</si>
  <si>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</si>
  <si>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</si>
  <si>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</si>
  <si>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</si>
  <si>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</si>
  <si>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</si>
  <si>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</si>
  <si>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</si>
  <si>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</si>
  <si>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</si>
  <si>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</si>
  <si>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</si>
  <si>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</si>
  <si>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</si>
  <si>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</si>
  <si>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</si>
  <si>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</si>
  <si>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</si>
  <si>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</si>
  <si>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</si>
  <si>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</si>
  <si>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</si>
  <si>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</si>
  <si>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</si>
  <si>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</si>
  <si>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</si>
  <si>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</si>
  <si>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</si>
  <si>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</si>
  <si>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</si>
  <si>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</si>
  <si>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</si>
  <si>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</si>
  <si>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</si>
  <si>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</si>
  <si>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</si>
  <si>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</si>
  <si>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</si>
  <si>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</si>
  <si>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</si>
  <si>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</si>
  <si>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</si>
  <si>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</si>
  <si>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</si>
  <si>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</si>
  <si>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</si>
  <si>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</si>
  <si>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</si>
  <si>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</si>
  <si>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</si>
  <si>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</si>
  <si>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</si>
  <si>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</si>
  <si>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</si>
  <si>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</si>
  <si>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</si>
  <si>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</si>
  <si>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</si>
  <si>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</si>
  <si>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</si>
  <si>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</si>
  <si>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</si>
  <si>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</si>
  <si>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</si>
  <si>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</si>
  <si>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</si>
  <si>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</si>
  <si>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</si>
  <si>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</si>
  <si>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</si>
  <si>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</si>
  <si>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</si>
  <si>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</si>
  <si>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</si>
  <si>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</si>
  <si>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</si>
  <si>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</si>
  <si>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</si>
  <si>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</si>
  <si>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</si>
  <si>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</si>
  <si>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</si>
  <si>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</si>
  <si>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</si>
  <si>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</si>
  <si>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</si>
  <si>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</si>
  <si>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</si>
  <si>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</si>
  <si>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</si>
  <si>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</si>
  <si>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</si>
  <si>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</si>
  <si>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</si>
  <si>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</si>
  <si>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</si>
  <si>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</si>
  <si>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</si>
  <si>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</si>
  <si>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</si>
  <si>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</si>
  <si>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</si>
  <si>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</si>
  <si>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</si>
  <si>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</si>
  <si>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</si>
  <si>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</si>
  <si>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</si>
  <si>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</si>
  <si>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</si>
  <si>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</si>
  <si>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</si>
  <si>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</si>
  <si>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</si>
  <si>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</si>
  <si>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</si>
  <si>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</si>
  <si>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</si>
  <si>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</si>
  <si>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</si>
  <si>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</si>
  <si>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</si>
  <si>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</si>
  <si>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</si>
  <si>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</si>
  <si>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</si>
  <si>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</si>
  <si>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</si>
  <si>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</si>
  <si>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</si>
  <si>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</si>
  <si>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</si>
  <si>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</si>
  <si>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</si>
  <si>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</si>
  <si>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</si>
  <si>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</si>
  <si>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</si>
  <si>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</si>
  <si>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</si>
  <si>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</si>
  <si>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</si>
  <si>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</si>
  <si>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</si>
  <si>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</si>
  <si>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</si>
  <si>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</si>
  <si>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</si>
  <si>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</si>
  <si>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</si>
  <si>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</si>
  <si>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</si>
  <si>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</si>
  <si>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</si>
  <si>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</si>
  <si>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</si>
  <si>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</si>
  <si>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</si>
  <si>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</si>
  <si>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</si>
  <si>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</si>
  <si>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</si>
  <si>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</si>
  <si>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</si>
  <si>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</si>
  <si>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</si>
  <si>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</si>
  <si>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</si>
  <si>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</si>
  <si>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</si>
  <si>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</si>
  <si>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</si>
  <si>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</si>
  <si>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</si>
  <si>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</si>
  <si>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</si>
  <si>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</si>
  <si>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</si>
  <si>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</si>
  <si>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</si>
  <si>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</si>
  <si>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</si>
  <si>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</si>
  <si>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</si>
  <si>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</si>
  <si>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</si>
  <si>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</si>
  <si>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</si>
  <si>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</si>
  <si>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</si>
  <si>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</si>
  <si>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</si>
  <si>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</si>
  <si>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</si>
  <si>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</si>
  <si>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</si>
  <si>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</si>
  <si>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</si>
  <si>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</si>
  <si>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</si>
  <si>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</si>
  <si>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</si>
  <si>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</si>
  <si>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</si>
  <si>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</si>
  <si>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</si>
  <si>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</si>
  <si>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</si>
  <si>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</si>
  <si>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</si>
  <si>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</si>
  <si>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</si>
  <si>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</si>
  <si>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</si>
  <si>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</si>
  <si>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</si>
  <si>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</si>
  <si>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</si>
  <si>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</si>
  <si>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</si>
  <si>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</si>
  <si>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</si>
  <si>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</si>
  <si>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</si>
  <si>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</si>
  <si>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</si>
  <si>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</si>
  <si>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</si>
  <si>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</si>
  <si>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</si>
  <si>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</si>
  <si>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</si>
  <si>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</si>
  <si>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</si>
  <si>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</si>
  <si>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</si>
  <si>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</si>
  <si>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</si>
  <si>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</si>
  <si>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</si>
  <si>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</si>
  <si>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</si>
  <si>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</si>
  <si>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</si>
  <si>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</si>
  <si>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</si>
  <si>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</si>
  <si>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</si>
  <si>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</si>
  <si>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</si>
  <si>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</si>
  <si>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</si>
  <si>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</si>
  <si>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</si>
  <si>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</si>
  <si>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</si>
  <si>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</si>
  <si>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</si>
  <si>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</si>
  <si>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</si>
  <si>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</si>
  <si>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</si>
  <si>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</si>
  <si>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</si>
  <si>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</si>
  <si>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</si>
  <si>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</si>
  <si>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</si>
  <si>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</si>
  <si>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</si>
  <si>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</si>
  <si>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</si>
  <si>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</si>
  <si>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</si>
  <si>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</si>
  <si>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</si>
  <si>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</si>
  <si>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</si>
  <si>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</si>
  <si>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</si>
  <si>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</si>
  <si>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</si>
  <si>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</si>
  <si>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</si>
  <si>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</si>
  <si>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</si>
  <si>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</si>
  <si>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</si>
  <si>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</si>
  <si>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</si>
  <si>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</si>
  <si>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</si>
  <si>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</si>
  <si>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</si>
  <si>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</si>
  <si>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</si>
  <si>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</si>
  <si>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</si>
  <si>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</si>
  <si>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</si>
  <si>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</si>
  <si>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</si>
  <si>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</si>
  <si>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</si>
  <si>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</si>
  <si>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</si>
  <si>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</si>
  <si>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</si>
  <si>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</si>
  <si>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</si>
  <si>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</si>
  <si>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</si>
  <si>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</si>
  <si>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</si>
  <si>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</si>
  <si>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</si>
  <si>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</si>
  <si>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</si>
  <si>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</si>
  <si>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</si>
  <si>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</si>
  <si>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</si>
  <si>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</si>
  <si>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</si>
  <si>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</si>
  <si>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</si>
  <si>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</si>
  <si>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</si>
  <si>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</si>
  <si>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</si>
  <si>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</si>
  <si>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</si>
  <si>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</si>
  <si>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</si>
  <si>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</si>
  <si>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</si>
  <si>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</si>
  <si>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</si>
  <si>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</si>
  <si>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</si>
  <si>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</si>
  <si>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</si>
  <si>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</si>
  <si>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</si>
  <si>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</si>
  <si>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</si>
  <si>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</si>
  <si>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</si>
  <si>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</si>
  <si>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</si>
  <si>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</si>
  <si>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</si>
  <si>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</si>
  <si>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</si>
  <si>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</si>
  <si>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</si>
  <si>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</si>
  <si>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</si>
  <si>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</si>
  <si>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</si>
  <si>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</si>
  <si>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</si>
  <si>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</si>
  <si>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</si>
  <si>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</si>
  <si>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</si>
  <si>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</si>
  <si>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</si>
  <si>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</si>
  <si>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</si>
  <si>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</si>
  <si>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</si>
  <si>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</si>
  <si>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</si>
  <si>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</si>
  <si>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</si>
  <si>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</si>
  <si>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</si>
  <si>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</si>
  <si>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</si>
  <si>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</si>
  <si>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</si>
  <si>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</si>
  <si>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</si>
  <si>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</si>
  <si>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</si>
  <si>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</si>
  <si>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</si>
  <si>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</si>
  <si>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</si>
  <si>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</si>
  <si>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</si>
  <si>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</si>
  <si>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</si>
  <si>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</si>
  <si>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</si>
  <si>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</si>
  <si>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</si>
  <si>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</si>
  <si>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</si>
  <si>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</si>
  <si>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</si>
  <si>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</si>
  <si>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</si>
  <si>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</si>
  <si>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</si>
  <si>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</si>
  <si>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</si>
  <si>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</si>
  <si>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</si>
  <si>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</si>
  <si>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</si>
  <si>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</si>
  <si>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</si>
  <si>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</si>
  <si>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</si>
  <si>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</si>
  <si>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</si>
  <si>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</si>
  <si>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</si>
  <si>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</si>
  <si>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</si>
  <si>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</si>
  <si>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</si>
  <si>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</si>
  <si>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</si>
  <si>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</si>
  <si>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</si>
  <si>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</si>
  <si>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</si>
  <si>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</si>
  <si>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</si>
  <si>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</si>
  <si>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</si>
  <si>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</si>
  <si>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</si>
  <si>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</si>
  <si>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</si>
  <si>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</si>
  <si>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</si>
  <si>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</si>
  <si>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</si>
  <si>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</si>
  <si>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</si>
  <si>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</si>
  <si>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</si>
  <si>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</si>
  <si>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</si>
  <si>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</si>
  <si>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</si>
  <si>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</si>
  <si>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</si>
  <si>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</si>
  <si>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</si>
  <si>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</si>
  <si>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</si>
  <si>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</si>
  <si>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</si>
  <si>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</si>
  <si>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</si>
  <si>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</si>
  <si>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</si>
  <si>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</si>
  <si>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</si>
  <si>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</si>
  <si>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</si>
  <si>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</si>
  <si>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</si>
  <si>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</si>
  <si>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</si>
  <si>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</si>
  <si>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</si>
  <si>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</si>
  <si>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</si>
  <si>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</si>
  <si>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</si>
  <si>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</si>
  <si>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</si>
  <si>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</si>
  <si>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</si>
  <si>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</si>
  <si>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</si>
  <si>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</si>
  <si>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</si>
  <si>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</si>
  <si>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</si>
  <si>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</si>
  <si>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</si>
  <si>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</si>
  <si>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</si>
  <si>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</si>
  <si>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</si>
  <si>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</si>
  <si>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</si>
  <si>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</si>
  <si>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</si>
  <si>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</si>
  <si>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</si>
  <si>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</si>
  <si>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</si>
  <si>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</si>
  <si>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</si>
  <si>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</si>
  <si>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</si>
  <si>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</si>
  <si>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</si>
  <si>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</si>
  <si>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</si>
  <si>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</si>
  <si>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</si>
  <si>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</si>
  <si>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</si>
  <si>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</si>
  <si>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</si>
  <si>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</si>
  <si>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</si>
  <si>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</si>
  <si>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</si>
  <si>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</si>
  <si>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</si>
  <si>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</si>
  <si>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</si>
  <si>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</si>
  <si>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</si>
  <si>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</si>
  <si>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</si>
  <si>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</si>
  <si>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</si>
  <si>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</si>
  <si>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</si>
  <si>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</si>
  <si>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</si>
  <si>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</si>
  <si>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</si>
  <si>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</si>
  <si>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</si>
  <si>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</si>
  <si>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</si>
  <si>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</si>
  <si>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</si>
  <si>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</si>
  <si>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</si>
  <si>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</si>
  <si>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</si>
  <si>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</si>
  <si>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</si>
  <si>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</si>
  <si>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</si>
  <si>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</si>
  <si>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</si>
  <si>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</si>
  <si>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</si>
  <si>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</si>
  <si>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</si>
  <si>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</si>
  <si>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</si>
  <si>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</si>
  <si>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</si>
  <si>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</si>
  <si>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</si>
  <si>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</si>
  <si>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</si>
  <si>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</si>
  <si>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</si>
  <si>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</si>
  <si>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</si>
  <si>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</si>
  <si>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</si>
  <si>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</si>
  <si>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 xml:space="preserve"> 2012 г. 31.12 - ЧЕТВЪРТО ТРИМЕСЕЧИЕ  КОНСОЛИДИРАН </t>
  </si>
  <si>
    <t>Забележка: Да се посочи метода на осчетоводяване на инвестициите - по себестойност</t>
  </si>
  <si>
    <t>Дата на съставяне: 20.02.2013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</si>
</sst>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2">
      <selection activeCell="A99" sqref="A9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859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873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3899.9999997</v>
      </c>
      <c r="D12" s="204">
        <v>2532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279</v>
      </c>
      <c r="D13" s="204">
        <v>181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630</v>
      </c>
      <c r="D14" s="204">
        <v>637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61</v>
      </c>
      <c r="D16" s="204">
        <v>64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f>'справка №5'!S15</f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398</v>
      </c>
      <c r="D18" s="204">
        <v>17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5408.9999996999995</v>
      </c>
      <c r="D19" s="208">
        <f>SUM(D11:D18)</f>
        <v>3581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2142</v>
      </c>
      <c r="H27" s="207">
        <f>SUM(H28:H30)</f>
        <v>2029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3613-344</f>
        <v>3269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-970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57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53.55006120000005</v>
      </c>
      <c r="H31" s="205">
        <v>113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57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2195.5500612</v>
      </c>
      <c r="H33" s="207">
        <f>H27+H31+H32</f>
        <v>2142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6460.5500612</v>
      </c>
      <c r="H36" s="207">
        <f>H25+H17+H33</f>
        <v>6407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(H39+'справка №2-ОТЧЕТ ЗА ДОХОДИТE'!C40+'справка №2-ОТЧЕТ ЗА ДОХОДИТE'!G40*-1)-F97</f>
        <v>688.3124897999592</v>
      </c>
      <c r="H39" s="211">
        <v>1050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331</v>
      </c>
      <c r="H43" s="205">
        <v>323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72</v>
      </c>
      <c r="H44" s="205">
        <v>67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512</v>
      </c>
      <c r="H46" s="205">
        <v>84</v>
      </c>
    </row>
    <row r="47" spans="1:13" ht="15">
      <c r="A47" s="290" t="s">
        <v>143</v>
      </c>
      <c r="B47" s="296" t="s">
        <v>144</v>
      </c>
      <c r="C47" s="204">
        <v>627</v>
      </c>
      <c r="D47" s="204">
        <v>485</v>
      </c>
      <c r="E47" s="306" t="s">
        <v>145</v>
      </c>
      <c r="F47" s="297" t="s">
        <v>146</v>
      </c>
      <c r="G47" s="205">
        <v>0</v>
      </c>
      <c r="H47" s="205"/>
      <c r="M47" s="210"/>
    </row>
    <row r="48" spans="1:8" ht="15">
      <c r="A48" s="290" t="s">
        <v>147</v>
      </c>
      <c r="B48" s="299" t="s">
        <v>148</v>
      </c>
      <c r="C48" s="204">
        <v>29</v>
      </c>
      <c r="D48" s="204">
        <v>30</v>
      </c>
      <c r="E48" s="292" t="s">
        <v>149</v>
      </c>
      <c r="F48" s="297" t="s">
        <v>150</v>
      </c>
      <c r="G48" s="205">
        <v>1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916</v>
      </c>
      <c r="H49" s="207">
        <f>SUM(H43:H48)</f>
        <v>475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4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656</v>
      </c>
      <c r="D51" s="208">
        <f>SUM(D47:D50)</f>
        <v>519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18</v>
      </c>
      <c r="D54" s="204">
        <v>18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6634.9999996999995</v>
      </c>
      <c r="D55" s="208">
        <f>D19+D20+D21+D27+D32+D45+D51+D53+D54</f>
        <v>4672</v>
      </c>
      <c r="E55" s="292" t="s">
        <v>172</v>
      </c>
      <c r="F55" s="316" t="s">
        <v>173</v>
      </c>
      <c r="G55" s="207">
        <f>G49+G51+G52+G53+G54</f>
        <v>916</v>
      </c>
      <c r="H55" s="207">
        <f>H49+H51+H52+H53+H54</f>
        <v>475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891</v>
      </c>
      <c r="D58" s="204">
        <v>376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196</v>
      </c>
      <c r="D59" s="204">
        <v>201</v>
      </c>
      <c r="E59" s="306" t="s">
        <v>181</v>
      </c>
      <c r="F59" s="297" t="s">
        <v>182</v>
      </c>
      <c r="G59" s="205">
        <v>48</v>
      </c>
      <c r="H59" s="205">
        <v>45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2196</v>
      </c>
      <c r="E61" s="298" t="s">
        <v>189</v>
      </c>
      <c r="F61" s="327" t="s">
        <v>190</v>
      </c>
      <c r="G61" s="207">
        <f>SUM(G62:G68)</f>
        <v>483</v>
      </c>
      <c r="H61" s="207">
        <f>SUM(H62:H68)</f>
        <v>426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60</v>
      </c>
      <c r="H62" s="205">
        <v>61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1190</v>
      </c>
      <c r="D64" s="208">
        <f>SUM(D58:D63)</f>
        <v>2807</v>
      </c>
      <c r="E64" s="292" t="s">
        <v>200</v>
      </c>
      <c r="F64" s="297" t="s">
        <v>201</v>
      </c>
      <c r="G64" s="205">
        <v>271</v>
      </c>
      <c r="H64" s="205">
        <v>223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127</v>
      </c>
      <c r="H65" s="205">
        <v>106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18</v>
      </c>
      <c r="H66" s="205">
        <v>18</v>
      </c>
    </row>
    <row r="67" spans="1:8" ht="15">
      <c r="A67" s="290" t="s">
        <v>207</v>
      </c>
      <c r="B67" s="296" t="s">
        <v>208</v>
      </c>
      <c r="C67" s="204">
        <v>60</v>
      </c>
      <c r="D67" s="204">
        <v>148</v>
      </c>
      <c r="E67" s="292" t="s">
        <v>209</v>
      </c>
      <c r="F67" s="297" t="s">
        <v>210</v>
      </c>
      <c r="G67" s="205">
        <v>2</v>
      </c>
      <c r="H67" s="205">
        <v>14</v>
      </c>
    </row>
    <row r="68" spans="1:8" ht="15">
      <c r="A68" s="290" t="s">
        <v>211</v>
      </c>
      <c r="B68" s="296" t="s">
        <v>212</v>
      </c>
      <c r="C68" s="204">
        <v>462</v>
      </c>
      <c r="D68" s="204">
        <v>331</v>
      </c>
      <c r="E68" s="292" t="s">
        <v>213</v>
      </c>
      <c r="F68" s="297" t="s">
        <v>214</v>
      </c>
      <c r="G68" s="205">
        <v>5</v>
      </c>
      <c r="H68" s="205">
        <v>4</v>
      </c>
    </row>
    <row r="69" spans="1:8" ht="15">
      <c r="A69" s="290" t="s">
        <v>215</v>
      </c>
      <c r="B69" s="296" t="s">
        <v>216</v>
      </c>
      <c r="C69" s="204">
        <v>6</v>
      </c>
      <c r="D69" s="204">
        <v>35</v>
      </c>
      <c r="E69" s="306" t="s">
        <v>78</v>
      </c>
      <c r="F69" s="297" t="s">
        <v>217</v>
      </c>
      <c r="G69" s="205">
        <v>148</v>
      </c>
      <c r="H69" s="205">
        <v>138</v>
      </c>
    </row>
    <row r="70" spans="1:8" ht="15">
      <c r="A70" s="290" t="s">
        <v>218</v>
      </c>
      <c r="B70" s="296" t="s">
        <v>219</v>
      </c>
      <c r="C70" s="204"/>
      <c r="D70" s="204">
        <v>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679</v>
      </c>
      <c r="H71" s="214">
        <f>H59+H60+H61+H69+H70</f>
        <v>609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80</v>
      </c>
      <c r="D72" s="204">
        <v>66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156</v>
      </c>
      <c r="D74" s="204">
        <v>172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764</v>
      </c>
      <c r="D75" s="208">
        <f>SUM(D67:D74)</f>
        <v>754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679</v>
      </c>
      <c r="H79" s="215">
        <f>H71+H74+H75+H76</f>
        <v>609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73</v>
      </c>
      <c r="D87" s="204">
        <v>54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67</v>
      </c>
      <c r="D88" s="204">
        <v>239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140</v>
      </c>
      <c r="D91" s="208">
        <f>SUM(D87:D90)</f>
        <v>293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2109</v>
      </c>
      <c r="D93" s="208">
        <f>D64+D75+D84+D91+D92</f>
        <v>3869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8743.9999997</v>
      </c>
      <c r="D94" s="217">
        <f>D93+D55</f>
        <v>8541</v>
      </c>
      <c r="E94" s="556" t="s">
        <v>270</v>
      </c>
      <c r="F94" s="344" t="s">
        <v>271</v>
      </c>
      <c r="G94" s="218">
        <f>G36+G39+G55+G79</f>
        <v>8743.862550999958</v>
      </c>
      <c r="H94" s="218">
        <f>H36+H39+H55+H79</f>
        <v>8541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874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603">
        <v>384</v>
      </c>
      <c r="G97" s="601">
        <f>G94-C94</f>
        <v>-0.13744870004120457</v>
      </c>
      <c r="H97" s="225"/>
      <c r="M97" s="210"/>
    </row>
    <row r="98" spans="1:13" ht="15">
      <c r="A98" s="78" t="s">
        <v>875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37" sqref="C3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2012 г. 31.12 - ЧЕТВЪРТО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33</v>
      </c>
      <c r="D9" s="79">
        <v>61</v>
      </c>
      <c r="E9" s="362" t="s">
        <v>283</v>
      </c>
      <c r="F9" s="364" t="s">
        <v>284</v>
      </c>
      <c r="G9" s="87">
        <v>127</v>
      </c>
      <c r="H9" s="87">
        <v>395</v>
      </c>
    </row>
    <row r="10" spans="1:8" ht="12">
      <c r="A10" s="362" t="s">
        <v>285</v>
      </c>
      <c r="B10" s="363" t="s">
        <v>286</v>
      </c>
      <c r="C10" s="79">
        <v>283</v>
      </c>
      <c r="D10" s="79">
        <v>645</v>
      </c>
      <c r="E10" s="362" t="s">
        <v>287</v>
      </c>
      <c r="F10" s="364" t="s">
        <v>288</v>
      </c>
      <c r="G10" s="87">
        <v>0</v>
      </c>
      <c r="H10" s="87">
        <v>83</v>
      </c>
    </row>
    <row r="11" spans="1:8" ht="12">
      <c r="A11" s="362" t="s">
        <v>289</v>
      </c>
      <c r="B11" s="363" t="s">
        <v>290</v>
      </c>
      <c r="C11" s="79">
        <v>239</v>
      </c>
      <c r="D11" s="79">
        <v>152</v>
      </c>
      <c r="E11" s="365" t="s">
        <v>291</v>
      </c>
      <c r="F11" s="364" t="s">
        <v>292</v>
      </c>
      <c r="G11" s="87">
        <v>210</v>
      </c>
      <c r="H11" s="87">
        <v>149</v>
      </c>
    </row>
    <row r="12" spans="1:8" ht="12">
      <c r="A12" s="362" t="s">
        <v>293</v>
      </c>
      <c r="B12" s="363" t="s">
        <v>294</v>
      </c>
      <c r="C12" s="79">
        <v>124</v>
      </c>
      <c r="D12" s="79">
        <v>132</v>
      </c>
      <c r="E12" s="365" t="s">
        <v>78</v>
      </c>
      <c r="F12" s="364" t="s">
        <v>295</v>
      </c>
      <c r="G12" s="87">
        <v>649</v>
      </c>
      <c r="H12" s="87">
        <v>564</v>
      </c>
    </row>
    <row r="13" spans="1:18" ht="12">
      <c r="A13" s="362" t="s">
        <v>296</v>
      </c>
      <c r="B13" s="363" t="s">
        <v>297</v>
      </c>
      <c r="C13" s="79">
        <v>17</v>
      </c>
      <c r="D13" s="79">
        <v>19</v>
      </c>
      <c r="E13" s="366" t="s">
        <v>51</v>
      </c>
      <c r="F13" s="367" t="s">
        <v>298</v>
      </c>
      <c r="G13" s="88">
        <f>SUM(G9:G12)</f>
        <v>986</v>
      </c>
      <c r="H13" s="88">
        <f>SUM(H9:H12)</f>
        <v>1191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177</v>
      </c>
      <c r="D14" s="79">
        <v>180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6</v>
      </c>
      <c r="D15" s="80">
        <v>-307</v>
      </c>
      <c r="E15" s="360" t="s">
        <v>303</v>
      </c>
      <c r="F15" s="369" t="s">
        <v>304</v>
      </c>
      <c r="G15" s="87">
        <v>2</v>
      </c>
      <c r="H15" s="87">
        <v>0</v>
      </c>
    </row>
    <row r="16" spans="1:8" ht="12">
      <c r="A16" s="362" t="s">
        <v>305</v>
      </c>
      <c r="B16" s="363" t="s">
        <v>306</v>
      </c>
      <c r="C16" s="80">
        <v>13</v>
      </c>
      <c r="D16" s="80">
        <v>135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892</v>
      </c>
      <c r="D19" s="82">
        <f>SUM(D9:D15)+D16</f>
        <v>1017</v>
      </c>
      <c r="E19" s="372" t="s">
        <v>315</v>
      </c>
      <c r="F19" s="368" t="s">
        <v>316</v>
      </c>
      <c r="G19" s="87">
        <v>83</v>
      </c>
      <c r="H19" s="87">
        <v>78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69</v>
      </c>
      <c r="D22" s="79">
        <v>45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0</v>
      </c>
      <c r="E24" s="366" t="s">
        <v>103</v>
      </c>
      <c r="F24" s="369" t="s">
        <v>332</v>
      </c>
      <c r="G24" s="88">
        <f>SUM(G19:G23)</f>
        <v>83</v>
      </c>
      <c r="H24" s="88">
        <f>SUM(H19:H23)</f>
        <v>78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8</v>
      </c>
      <c r="D25" s="79">
        <v>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77</v>
      </c>
      <c r="D26" s="82">
        <f>SUM(D22:D25)</f>
        <v>50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969</v>
      </c>
      <c r="D28" s="83">
        <f>D26+D19</f>
        <v>1067</v>
      </c>
      <c r="E28" s="173" t="s">
        <v>337</v>
      </c>
      <c r="F28" s="369" t="s">
        <v>338</v>
      </c>
      <c r="G28" s="88">
        <f>G13+G15+G24</f>
        <v>1071</v>
      </c>
      <c r="H28" s="88">
        <f>H13+H15+H24</f>
        <v>1269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102</v>
      </c>
      <c r="D30" s="83">
        <f>IF((H28-D28)&gt;0,H28-D28,0)</f>
        <v>202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851</v>
      </c>
      <c r="B31" s="375" t="s">
        <v>343</v>
      </c>
      <c r="C31" s="79">
        <f>C30*0.416666</f>
        <v>42.499932</v>
      </c>
      <c r="D31" s="79">
        <f>D30*0.416666</f>
        <v>84.16653199999999</v>
      </c>
      <c r="E31" s="360" t="s">
        <v>854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1011.499932</v>
      </c>
      <c r="D33" s="82">
        <f>D28+D31+D32</f>
        <v>1151.166532</v>
      </c>
      <c r="E33" s="173" t="s">
        <v>351</v>
      </c>
      <c r="F33" s="369" t="s">
        <v>352</v>
      </c>
      <c r="G33" s="90">
        <f>G32+G31+G28</f>
        <v>1071</v>
      </c>
      <c r="H33" s="90">
        <f>H32+H31+H28</f>
        <v>1269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59.500068000000056</v>
      </c>
      <c r="D34" s="83">
        <f>IF((H33-D33)&gt;0,H33-D33,0)</f>
        <v>117.83346800000004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5.950006800000006</v>
      </c>
      <c r="D35" s="82">
        <f>D36+D37+D38</f>
        <v>5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C34*10%</f>
        <v>5.950006800000006</v>
      </c>
      <c r="D36" s="79">
        <v>11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-10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>
        <v>0</v>
      </c>
      <c r="D38" s="599">
        <v>4</v>
      </c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53.55006120000005</v>
      </c>
      <c r="D39" s="568">
        <f>+IF((H33-D33-D35)&gt;0,H33-D33-D35,0)</f>
        <v>112.83346800000004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22.31248979995922</v>
      </c>
      <c r="D40" s="84">
        <f>D39*0.4166666</f>
        <v>47.01393747776881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31.23757140004083</v>
      </c>
      <c r="D41" s="85">
        <f>IF(H39=0,IF(D39-D40&gt;0,D39-D40+H40,0),IF(H39-H40&lt;0,H40-H39+D39,0))</f>
        <v>65.81953052223122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1071</v>
      </c>
      <c r="D42" s="86">
        <f>D33+D35+D39</f>
        <v>1269</v>
      </c>
      <c r="E42" s="176" t="s">
        <v>378</v>
      </c>
      <c r="F42" s="177" t="s">
        <v>379</v>
      </c>
      <c r="G42" s="90">
        <f>G39+G33</f>
        <v>1071</v>
      </c>
      <c r="H42" s="90">
        <f>H39+H33</f>
        <v>1269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5" sqref="C45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2012 г. 31.12 - ЧЕТВЪРТО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811</v>
      </c>
      <c r="D10" s="92">
        <v>541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-713</v>
      </c>
      <c r="D11" s="92">
        <v>-615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-143</v>
      </c>
      <c r="D13" s="92">
        <v>-148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-49</v>
      </c>
      <c r="D14" s="92">
        <v>-18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-11</v>
      </c>
      <c r="D15" s="92">
        <v>-1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18</v>
      </c>
      <c r="D16" s="92">
        <v>31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-233</v>
      </c>
      <c r="D19" s="92">
        <v>-37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-320</v>
      </c>
      <c r="D20" s="93">
        <f>SUM(D10:D19)</f>
        <v>-247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-299</v>
      </c>
      <c r="D22" s="92">
        <v>-67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121</v>
      </c>
      <c r="D23" s="92">
        <v>371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-333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20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-158</v>
      </c>
      <c r="D32" s="93">
        <f>SUM(D22:D31)</f>
        <v>-29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1180</v>
      </c>
      <c r="D36" s="92">
        <f>753-130</f>
        <v>623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f>-903+83</f>
        <v>-820</v>
      </c>
      <c r="D37" s="92">
        <v>-511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-27</v>
      </c>
      <c r="D39" s="92">
        <v>77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-8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325</v>
      </c>
      <c r="D42" s="93">
        <f>SUM(D34:D41)</f>
        <v>185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-153</v>
      </c>
      <c r="D43" s="93">
        <f>D42+D32+D20</f>
        <v>-91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293</v>
      </c>
      <c r="D44" s="183">
        <v>384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140</v>
      </c>
      <c r="D45" s="93">
        <f>D44+D43</f>
        <v>293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140</v>
      </c>
      <c r="D46" s="94">
        <f>'справка №1-БАЛАНС'!D91</f>
        <v>293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20.02.2013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870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G37" sqref="G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2012 г. 31.12 - ЧЕТВЪРТО ТРИМЕСЕЧИЕ 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3112</v>
      </c>
      <c r="J11" s="96">
        <f>'справка №1-БАЛАНС'!H29+'справка №1-БАЛАНС'!H32</f>
        <v>-970</v>
      </c>
      <c r="K11" s="98"/>
      <c r="L11" s="423">
        <f>SUM(C11:K11)</f>
        <v>6407</v>
      </c>
      <c r="M11" s="96">
        <f>'справка №1-БАЛАНС'!H39</f>
        <v>1050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3112</v>
      </c>
      <c r="J15" s="99">
        <f t="shared" si="2"/>
        <v>-970</v>
      </c>
      <c r="K15" s="99">
        <f t="shared" si="2"/>
        <v>0</v>
      </c>
      <c r="L15" s="423">
        <f t="shared" si="1"/>
        <v>6407</v>
      </c>
      <c r="M15" s="99">
        <f t="shared" si="2"/>
        <v>1050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53.55006120000005</v>
      </c>
      <c r="J16" s="424">
        <f>+'справка №1-БАЛАНС'!G32</f>
        <v>0</v>
      </c>
      <c r="K16" s="98"/>
      <c r="L16" s="423">
        <f t="shared" si="1"/>
        <v>53.55006120000005</v>
      </c>
      <c r="M16" s="98">
        <f>'справка №2-ОТЧЕТ ЗА ДОХОДИТE'!C40+('справка №2-ОТЧЕТ ЗА ДОХОДИТE'!G40*-1)</f>
        <v>22.31248979995922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f>'справка №1-БАЛАНС'!F97*-1</f>
        <v>-384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3165.5500612</v>
      </c>
      <c r="J29" s="97">
        <f t="shared" si="6"/>
        <v>-970</v>
      </c>
      <c r="K29" s="97">
        <f t="shared" si="6"/>
        <v>0</v>
      </c>
      <c r="L29" s="423">
        <f t="shared" si="1"/>
        <v>6460.5500612</v>
      </c>
      <c r="M29" s="97">
        <f t="shared" si="6"/>
        <v>688.3124897999592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3165.5500612</v>
      </c>
      <c r="J32" s="97">
        <f t="shared" si="7"/>
        <v>-970</v>
      </c>
      <c r="K32" s="97">
        <f t="shared" si="7"/>
        <v>0</v>
      </c>
      <c r="L32" s="423">
        <f t="shared" si="1"/>
        <v>6460.5500612</v>
      </c>
      <c r="M32" s="97">
        <f>M29+M30+M31</f>
        <v>688.3124897999592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20.02.2013 г</v>
      </c>
      <c r="B35" s="37"/>
      <c r="C35" s="24"/>
      <c r="D35" s="611" t="s">
        <v>521</v>
      </c>
      <c r="E35" s="611"/>
      <c r="F35" s="611" t="s">
        <v>871</v>
      </c>
      <c r="G35" s="611"/>
      <c r="H35" s="611"/>
      <c r="I35" s="611"/>
      <c r="J35" s="24"/>
      <c r="K35" s="24"/>
      <c r="L35" s="611" t="s">
        <v>872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0">
      <selection activeCell="T48" sqref="T48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2" t="s">
        <v>383</v>
      </c>
      <c r="B2" s="625"/>
      <c r="C2" s="583"/>
      <c r="D2" s="583"/>
      <c r="E2" s="612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8" t="s">
        <v>2</v>
      </c>
      <c r="N2" s="624"/>
      <c r="O2" s="624"/>
      <c r="P2" s="629">
        <f>'справка №1-БАЛАНС'!H3</f>
        <v>0</v>
      </c>
      <c r="Q2" s="629"/>
      <c r="R2" s="352"/>
    </row>
    <row r="3" spans="1:18" ht="15">
      <c r="A3" s="632" t="s">
        <v>5</v>
      </c>
      <c r="B3" s="625"/>
      <c r="C3" s="584"/>
      <c r="D3" s="584"/>
      <c r="E3" s="612" t="str">
        <f>'справка №1-БАЛАНС'!E5</f>
        <v> 2012 г. 31.12 - ЧЕТВЪРТО ТРИМЕСЕЧИЕ  КОНСОЛИДИРАН </v>
      </c>
      <c r="F3" s="634"/>
      <c r="G3" s="634"/>
      <c r="H3" s="442"/>
      <c r="I3" s="442"/>
      <c r="J3" s="442"/>
      <c r="K3" s="442"/>
      <c r="L3" s="442"/>
      <c r="M3" s="630" t="s">
        <v>4</v>
      </c>
      <c r="N3" s="630"/>
      <c r="O3" s="575"/>
      <c r="P3" s="631" t="str">
        <f>'справка №1-БАЛАНС'!H4</f>
        <v> </v>
      </c>
      <c r="Q3" s="631"/>
      <c r="R3" s="353"/>
    </row>
    <row r="4" spans="1:18" ht="12.75">
      <c r="A4" s="435" t="s">
        <v>523</v>
      </c>
      <c r="B4" s="441"/>
      <c r="C4" s="441"/>
      <c r="D4" s="442"/>
      <c r="E4" s="615"/>
      <c r="F4" s="616"/>
      <c r="G4" s="61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7"/>
      <c r="R6" s="62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>
        <v>8</v>
      </c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3068</v>
      </c>
      <c r="E10" s="242">
        <f>1336+160</f>
        <v>1496</v>
      </c>
      <c r="F10" s="242">
        <f>14*2+4-10</f>
        <v>22</v>
      </c>
      <c r="G10" s="113">
        <f aca="true" t="shared" si="3" ref="G10:G39">D10+E10-F10</f>
        <v>4542</v>
      </c>
      <c r="H10" s="103"/>
      <c r="I10" s="103"/>
      <c r="J10" s="113">
        <f aca="true" t="shared" si="4" ref="J10:J39">G10+H10-I10</f>
        <v>4542</v>
      </c>
      <c r="K10" s="103">
        <v>536</v>
      </c>
      <c r="L10" s="103">
        <f>(28+19)/6*12+0.166667+3-1.5+0.3333333+10</f>
        <v>106.00000030000001</v>
      </c>
      <c r="M10" s="103"/>
      <c r="N10" s="113">
        <f t="shared" si="0"/>
        <v>642.0000003</v>
      </c>
      <c r="O10" s="103"/>
      <c r="P10" s="103"/>
      <c r="Q10" s="113">
        <f t="shared" si="1"/>
        <v>642.0000003</v>
      </c>
      <c r="R10" s="113">
        <f t="shared" si="2"/>
        <v>3899.9999997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665</v>
      </c>
      <c r="E11" s="242">
        <f>3+41+82+8+3</f>
        <v>137</v>
      </c>
      <c r="F11" s="242"/>
      <c r="G11" s="113">
        <f t="shared" si="3"/>
        <v>802</v>
      </c>
      <c r="H11" s="103"/>
      <c r="I11" s="103"/>
      <c r="J11" s="113">
        <f t="shared" si="4"/>
        <v>802</v>
      </c>
      <c r="K11" s="103">
        <v>484</v>
      </c>
      <c r="L11" s="103">
        <f>(12+6)/6*12+3</f>
        <v>39</v>
      </c>
      <c r="M11" s="103"/>
      <c r="N11" s="113">
        <f t="shared" si="0"/>
        <v>523</v>
      </c>
      <c r="O11" s="103"/>
      <c r="P11" s="103"/>
      <c r="Q11" s="113">
        <f t="shared" si="1"/>
        <v>523</v>
      </c>
      <c r="R11" s="113">
        <f t="shared" si="2"/>
        <v>279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686</v>
      </c>
      <c r="E12" s="242">
        <v>3</v>
      </c>
      <c r="F12" s="242"/>
      <c r="G12" s="113">
        <f t="shared" si="3"/>
        <v>689</v>
      </c>
      <c r="H12" s="103"/>
      <c r="I12" s="103"/>
      <c r="J12" s="113">
        <f t="shared" si="4"/>
        <v>689</v>
      </c>
      <c r="K12" s="103">
        <v>49</v>
      </c>
      <c r="L12" s="103">
        <f>(2+2)/6*12+1+1</f>
        <v>10</v>
      </c>
      <c r="M12" s="103"/>
      <c r="N12" s="113">
        <f t="shared" si="0"/>
        <v>59</v>
      </c>
      <c r="O12" s="103"/>
      <c r="P12" s="103"/>
      <c r="Q12" s="113">
        <f t="shared" si="1"/>
        <v>59</v>
      </c>
      <c r="R12" s="113">
        <f t="shared" si="2"/>
        <v>630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163</v>
      </c>
      <c r="E13" s="242"/>
      <c r="F13" s="242">
        <v>1</v>
      </c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135</v>
      </c>
      <c r="E14" s="242">
        <f>18+7+13.5+3.5+17</f>
        <v>59</v>
      </c>
      <c r="F14" s="242"/>
      <c r="G14" s="113">
        <f t="shared" si="3"/>
        <v>194</v>
      </c>
      <c r="H14" s="103"/>
      <c r="I14" s="103"/>
      <c r="J14" s="113">
        <f t="shared" si="4"/>
        <v>194</v>
      </c>
      <c r="K14" s="103">
        <v>71</v>
      </c>
      <c r="L14" s="103">
        <f>(18+9)/6*12+8</f>
        <v>62</v>
      </c>
      <c r="M14" s="103"/>
      <c r="N14" s="113">
        <f t="shared" si="0"/>
        <v>133</v>
      </c>
      <c r="O14" s="103"/>
      <c r="P14" s="103"/>
      <c r="Q14" s="113">
        <f t="shared" si="1"/>
        <v>133</v>
      </c>
      <c r="R14" s="113">
        <f t="shared" si="2"/>
        <v>61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856</v>
      </c>
      <c r="B15" s="465" t="s">
        <v>857</v>
      </c>
      <c r="C15" s="562" t="s">
        <v>858</v>
      </c>
      <c r="D15" s="563">
        <v>0</v>
      </c>
      <c r="E15" s="563">
        <v>15</v>
      </c>
      <c r="F15" s="563">
        <f>11+4</f>
        <v>15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65</v>
      </c>
      <c r="E16" s="242">
        <f>436</f>
        <v>436</v>
      </c>
      <c r="F16" s="242">
        <f>22+18+12</f>
        <v>52</v>
      </c>
      <c r="G16" s="113">
        <f t="shared" si="3"/>
        <v>449</v>
      </c>
      <c r="H16" s="103"/>
      <c r="I16" s="103"/>
      <c r="J16" s="113">
        <f t="shared" si="4"/>
        <v>449</v>
      </c>
      <c r="K16" s="103">
        <v>48</v>
      </c>
      <c r="L16" s="103">
        <f>(5+5)/6*12</f>
        <v>20</v>
      </c>
      <c r="M16" s="103">
        <f>11+6</f>
        <v>17</v>
      </c>
      <c r="N16" s="113">
        <f t="shared" si="0"/>
        <v>51</v>
      </c>
      <c r="O16" s="103"/>
      <c r="P16" s="103"/>
      <c r="Q16" s="113">
        <f aca="true" t="shared" si="5" ref="Q16:Q25">N16+O16-P16</f>
        <v>51</v>
      </c>
      <c r="R16" s="113">
        <f aca="true" t="shared" si="6" ref="R16:R25">J16-Q16</f>
        <v>398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4931</v>
      </c>
      <c r="E17" s="247">
        <f>SUM(E9:E16)</f>
        <v>2146</v>
      </c>
      <c r="F17" s="247">
        <f>SUM(F9:F16)</f>
        <v>98</v>
      </c>
      <c r="G17" s="113">
        <f t="shared" si="3"/>
        <v>6979</v>
      </c>
      <c r="H17" s="114">
        <f>SUM(H9:H16)</f>
        <v>0</v>
      </c>
      <c r="I17" s="114">
        <f>SUM(I9:I16)</f>
        <v>0</v>
      </c>
      <c r="J17" s="113">
        <f t="shared" si="4"/>
        <v>6979</v>
      </c>
      <c r="K17" s="114">
        <f>SUM(K9:K16)</f>
        <v>1350</v>
      </c>
      <c r="L17" s="114">
        <f>SUM(L9:L16)</f>
        <v>237.0000003</v>
      </c>
      <c r="M17" s="114">
        <f>SUM(M9:M16)</f>
        <v>17</v>
      </c>
      <c r="N17" s="113">
        <f aca="true" t="shared" si="7" ref="N17:N39">K17+L17-M17</f>
        <v>1570.0000003</v>
      </c>
      <c r="O17" s="114">
        <f>SUM(O9:O16)</f>
        <v>0</v>
      </c>
      <c r="P17" s="114">
        <f>SUM(P9:P16)</f>
        <v>0</v>
      </c>
      <c r="Q17" s="113">
        <f t="shared" si="5"/>
        <v>1570.0000003</v>
      </c>
      <c r="R17" s="113">
        <f t="shared" si="6"/>
        <v>5408.9999996999995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852</v>
      </c>
      <c r="C27" s="471" t="s">
        <v>585</v>
      </c>
      <c r="D27" s="245">
        <f>SUM(D28:D31)</f>
        <v>489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489</v>
      </c>
      <c r="H27" s="109">
        <f t="shared" si="9"/>
        <v>0</v>
      </c>
      <c r="I27" s="109">
        <f t="shared" si="9"/>
        <v>0</v>
      </c>
      <c r="J27" s="110">
        <f t="shared" si="4"/>
        <v>489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3"/>
        <v>53</v>
      </c>
      <c r="H31" s="111"/>
      <c r="I31" s="111"/>
      <c r="J31" s="113">
        <f t="shared" si="4"/>
        <v>53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853</v>
      </c>
      <c r="C38" s="460" t="s">
        <v>601</v>
      </c>
      <c r="D38" s="247">
        <f>D27+D32+D37</f>
        <v>497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497</v>
      </c>
      <c r="H38" s="114">
        <f t="shared" si="13"/>
        <v>0</v>
      </c>
      <c r="I38" s="114">
        <f t="shared" si="13"/>
        <v>0</v>
      </c>
      <c r="J38" s="113">
        <f t="shared" si="4"/>
        <v>497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136</v>
      </c>
      <c r="E39" s="595"/>
      <c r="F39" s="595"/>
      <c r="G39" s="113">
        <f t="shared" si="3"/>
        <v>136</v>
      </c>
      <c r="H39" s="595"/>
      <c r="I39" s="595">
        <v>12</v>
      </c>
      <c r="J39" s="113">
        <f t="shared" si="4"/>
        <v>124</v>
      </c>
      <c r="K39" s="595">
        <f>66+1</f>
        <v>67</v>
      </c>
      <c r="L39" s="595">
        <f>1/6*12</f>
        <v>2</v>
      </c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5607</v>
      </c>
      <c r="E40" s="545">
        <f>E17+E18+E19+E25+E38+E39</f>
        <v>2146</v>
      </c>
      <c r="F40" s="545">
        <f aca="true" t="shared" si="14" ref="F40:R40">F17+F18+F19+F25+F38+F39</f>
        <v>98</v>
      </c>
      <c r="G40" s="545">
        <f t="shared" si="14"/>
        <v>7655</v>
      </c>
      <c r="H40" s="545">
        <f t="shared" si="14"/>
        <v>0</v>
      </c>
      <c r="I40" s="545">
        <f t="shared" si="14"/>
        <v>12</v>
      </c>
      <c r="J40" s="545">
        <f t="shared" si="14"/>
        <v>7643</v>
      </c>
      <c r="K40" s="545">
        <f t="shared" si="14"/>
        <v>1460</v>
      </c>
      <c r="L40" s="545">
        <f t="shared" si="14"/>
        <v>239.0000003</v>
      </c>
      <c r="M40" s="545">
        <f t="shared" si="14"/>
        <v>17</v>
      </c>
      <c r="N40" s="545">
        <f t="shared" si="14"/>
        <v>1682.0000003</v>
      </c>
      <c r="O40" s="545">
        <f t="shared" si="14"/>
        <v>0</v>
      </c>
      <c r="P40" s="545">
        <f t="shared" si="14"/>
        <v>0</v>
      </c>
      <c r="Q40" s="545">
        <f t="shared" si="14"/>
        <v>1682.0000003</v>
      </c>
      <c r="R40" s="545">
        <f t="shared" si="14"/>
        <v>5960.9999996999995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239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5960.9999996999995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-3.000000106112566E-07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>
        <f>L42/L40</f>
        <v>-1.255230168345973E-09</v>
      </c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20.02.2013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C112" sqref="C112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2012 г. 31.12 - ЧЕТВЪРТО ТРИМЕСЕЧИЕ 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627</v>
      </c>
      <c r="D11" s="165">
        <f>SUM(D12:D14)</f>
        <v>0</v>
      </c>
      <c r="E11" s="166">
        <f>SUM(E12:E14)</f>
        <v>627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627</v>
      </c>
      <c r="D12" s="153"/>
      <c r="E12" s="166">
        <f aca="true" t="shared" si="0" ref="E12:E42">C12-D12</f>
        <v>627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29</v>
      </c>
      <c r="D15" s="153"/>
      <c r="E15" s="166">
        <f t="shared" si="0"/>
        <v>29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656</v>
      </c>
      <c r="D19" s="149">
        <f>D11+D15+D16</f>
        <v>0</v>
      </c>
      <c r="E19" s="164">
        <f>E11+E15+E16</f>
        <v>656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60</v>
      </c>
      <c r="D24" s="165">
        <f>SUM(D25:D27)</f>
        <v>10</v>
      </c>
      <c r="E24" s="166">
        <f>SUM(E25:E27)</f>
        <v>50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50</v>
      </c>
      <c r="D25" s="153"/>
      <c r="E25" s="166">
        <f t="shared" si="0"/>
        <v>50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462</v>
      </c>
      <c r="D28" s="153">
        <v>179</v>
      </c>
      <c r="E28" s="166">
        <f t="shared" si="0"/>
        <v>283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6</v>
      </c>
      <c r="D29" s="153"/>
      <c r="E29" s="166">
        <f t="shared" si="0"/>
        <v>6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80</v>
      </c>
      <c r="D33" s="150">
        <f>SUM(D34:D37)</f>
        <v>27</v>
      </c>
      <c r="E33" s="167">
        <f>SUM(E34:E37)</f>
        <v>53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51</v>
      </c>
      <c r="D34" s="153"/>
      <c r="E34" s="166">
        <f t="shared" si="0"/>
        <v>51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156</v>
      </c>
      <c r="D38" s="150">
        <f>SUM(D39:D42)</f>
        <v>0</v>
      </c>
      <c r="E38" s="167">
        <f>SUM(E39:E42)</f>
        <v>156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156</v>
      </c>
      <c r="D42" s="153"/>
      <c r="E42" s="166">
        <f t="shared" si="0"/>
        <v>156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764</v>
      </c>
      <c r="D43" s="149">
        <f>D24+D28+D29+D31+D30+D32+D33+D38</f>
        <v>216</v>
      </c>
      <c r="E43" s="164">
        <f>E24+E28+E29+E31+E30+E32+E33+E38</f>
        <v>548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1420</v>
      </c>
      <c r="D44" s="148">
        <f>D43+D21+D19+D9</f>
        <v>216</v>
      </c>
      <c r="E44" s="164">
        <f>E43+E21+E19+E9</f>
        <v>1204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331</v>
      </c>
      <c r="D52" s="148">
        <f>SUM(D53:D55)</f>
        <v>0</v>
      </c>
      <c r="E52" s="165">
        <f>C52-D52</f>
        <v>331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331</v>
      </c>
      <c r="D53" s="153"/>
      <c r="E53" s="165">
        <f>C53-D53</f>
        <v>331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72</v>
      </c>
      <c r="D56" s="148">
        <f>D57+D59</f>
        <v>0</v>
      </c>
      <c r="E56" s="165">
        <f t="shared" si="1"/>
        <v>72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72</v>
      </c>
      <c r="D57" s="153">
        <v>0</v>
      </c>
      <c r="E57" s="165">
        <f t="shared" si="1"/>
        <v>72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512</v>
      </c>
      <c r="D62" s="153"/>
      <c r="E62" s="165">
        <f t="shared" si="1"/>
        <v>512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916</v>
      </c>
      <c r="D66" s="148">
        <f>D52+D56+D61+D62+D63+D64</f>
        <v>0</v>
      </c>
      <c r="E66" s="165">
        <f t="shared" si="1"/>
        <v>916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60</v>
      </c>
      <c r="D71" s="150">
        <f>SUM(D72:D74)</f>
        <v>0</v>
      </c>
      <c r="E71" s="150">
        <f>SUM(E72:E74)</f>
        <v>60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44</v>
      </c>
      <c r="D74" s="153"/>
      <c r="E74" s="165">
        <f t="shared" si="1"/>
        <v>44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48</v>
      </c>
      <c r="D75" s="148">
        <f>D76+D78</f>
        <v>14</v>
      </c>
      <c r="E75" s="148">
        <f>E76+E78</f>
        <v>34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48</v>
      </c>
      <c r="D78" s="153">
        <v>14</v>
      </c>
      <c r="E78" s="165">
        <f t="shared" si="1"/>
        <v>34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423</v>
      </c>
      <c r="D85" s="149">
        <f>SUM(D86:D90)+D94</f>
        <v>235</v>
      </c>
      <c r="E85" s="149">
        <f>SUM(E86:E90)+E94</f>
        <v>188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271</v>
      </c>
      <c r="D87" s="153">
        <f>401-108-70</f>
        <v>223</v>
      </c>
      <c r="E87" s="165">
        <f t="shared" si="1"/>
        <v>48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127</v>
      </c>
      <c r="D88" s="153"/>
      <c r="E88" s="165">
        <f t="shared" si="1"/>
        <v>127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18</v>
      </c>
      <c r="D89" s="153">
        <v>10</v>
      </c>
      <c r="E89" s="165">
        <f t="shared" si="1"/>
        <v>8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5</v>
      </c>
      <c r="D90" s="148">
        <f>SUM(D91:D93)</f>
        <v>0</v>
      </c>
      <c r="E90" s="148">
        <f>SUM(E91:E93)</f>
        <v>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5</v>
      </c>
      <c r="D92" s="153"/>
      <c r="E92" s="165">
        <f t="shared" si="1"/>
        <v>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148</v>
      </c>
      <c r="D95" s="153">
        <v>56</v>
      </c>
      <c r="E95" s="165">
        <f t="shared" si="1"/>
        <v>92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679</v>
      </c>
      <c r="D96" s="149">
        <f>D85+D80+D75+D71+D95</f>
        <v>305</v>
      </c>
      <c r="E96" s="149">
        <f>E85+E80+E75+E71+E95</f>
        <v>374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1595</v>
      </c>
      <c r="D97" s="149">
        <f>D96+D68+D66</f>
        <v>305</v>
      </c>
      <c r="E97" s="149">
        <f>E96+E68+E66</f>
        <v>1290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20.02.2013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2012 г. 31.12 - ЧЕТВЪРТО ТРИМЕСЕЧИЕ 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20.02.2013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09">
      <selection activeCell="A144" sqref="A144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2012 г. 31.12 - ЧЕТВЪРТО ТРИМЕСЕЧИЕ 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869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861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862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864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865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866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867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863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868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20.02.2013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855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2013-02-27T18:12:50Z</cp:lastPrinted>
  <dcterms:created xsi:type="dcterms:W3CDTF">2000-06-29T12:02:40Z</dcterms:created>
  <dcterms:modified xsi:type="dcterms:W3CDTF">2013-02-28T19:58:52Z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