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<sst xmlns="http://schemas.openxmlformats.org/spreadsheetml/2006/main" count="1057" uniqueCount="870">
  <si>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</si>
  <si>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</si>
  <si>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</si>
  <si>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</si>
  <si>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</si>
  <si>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</si>
  <si>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</si>
  <si>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</si>
  <si>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</si>
  <si>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</si>
  <si>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</si>
  <si>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</si>
  <si>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</si>
  <si>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</si>
  <si>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</si>
  <si>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</si>
  <si>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</si>
  <si>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</si>
  <si>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</si>
  <si>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</si>
  <si>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</si>
  <si>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</si>
  <si>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</si>
  <si>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</si>
  <si>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</si>
  <si>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</si>
  <si>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</si>
  <si>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</si>
  <si>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</si>
  <si>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</si>
  <si>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</si>
  <si>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</si>
  <si>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</si>
  <si>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</si>
  <si>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</si>
  <si>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</si>
  <si>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</si>
  <si>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</si>
  <si>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</si>
  <si>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</si>
  <si>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</si>
  <si>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</si>
  <si>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</si>
  <si>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</si>
  <si>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</si>
  <si>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</si>
  <si>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</si>
  <si>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</si>
  <si>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</si>
  <si>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</si>
  <si>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</si>
  <si>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</si>
  <si>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</si>
  <si>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</si>
  <si>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</si>
  <si>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</si>
  <si>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</si>
  <si>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</si>
  <si>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</si>
  <si>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</si>
  <si>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</si>
  <si>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</si>
  <si>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</si>
  <si>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</si>
  <si>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</si>
  <si>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</si>
  <si>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</si>
  <si>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</si>
  <si>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</si>
  <si>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</si>
  <si>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</si>
  <si>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</si>
  <si>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</si>
  <si>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</si>
  <si>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</si>
  <si>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</si>
  <si>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</si>
  <si>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</si>
  <si>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</si>
  <si>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</si>
  <si>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</si>
  <si>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</si>
  <si>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</si>
  <si>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</si>
  <si>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</si>
  <si>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</si>
  <si>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</si>
  <si>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</si>
  <si>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</si>
  <si>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</si>
  <si>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</si>
  <si>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</si>
  <si>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</si>
  <si>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</si>
  <si>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</si>
  <si>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</si>
  <si>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</si>
  <si>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</si>
  <si>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</si>
  <si>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</si>
  <si>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</si>
  <si>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</si>
  <si>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</si>
  <si>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</si>
  <si>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</si>
  <si>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</si>
  <si>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</si>
  <si>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</si>
  <si>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</si>
  <si>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</si>
  <si>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</si>
  <si>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</si>
  <si>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</si>
  <si>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</si>
  <si>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</si>
  <si>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</si>
  <si>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</si>
  <si>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</si>
  <si>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</si>
  <si>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</si>
  <si>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</si>
  <si>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</si>
  <si>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</si>
  <si>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</si>
  <si>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</si>
  <si>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</si>
  <si>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</si>
  <si>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</si>
  <si>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</si>
  <si>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</si>
  <si>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</si>
  <si>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</si>
  <si>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</si>
  <si>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</si>
  <si>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</si>
  <si>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</si>
  <si>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</si>
  <si>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</si>
  <si>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</si>
  <si>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</si>
  <si>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</si>
  <si>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</si>
  <si>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</si>
  <si>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</si>
  <si>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</si>
  <si>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</si>
  <si>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</si>
  <si>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</si>
  <si>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</si>
  <si>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</si>
  <si>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</si>
  <si>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</si>
  <si>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</si>
  <si>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</si>
  <si>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</si>
  <si>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</si>
  <si>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</si>
  <si>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</si>
  <si>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</si>
  <si>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</si>
  <si>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</si>
  <si>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</si>
  <si>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</si>
  <si>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</si>
  <si>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</si>
  <si>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</si>
  <si>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</si>
  <si>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</si>
  <si>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</si>
  <si>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</si>
  <si>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</si>
  <si>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</si>
  <si>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</si>
  <si>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</si>
  <si>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</si>
  <si>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</si>
  <si>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</si>
  <si>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</si>
  <si>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</si>
  <si>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</si>
  <si>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</si>
  <si>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</si>
  <si>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</si>
  <si>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</si>
  <si>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</si>
  <si>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</si>
  <si>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</si>
  <si>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</si>
  <si>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</si>
  <si>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</si>
  <si>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</si>
  <si>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</si>
  <si>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</si>
  <si>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</si>
  <si>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</si>
  <si>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</si>
  <si>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</si>
  <si>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</si>
  <si>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</si>
  <si>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</si>
  <si>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</si>
  <si>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</si>
  <si>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</si>
  <si>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</si>
  <si>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</si>
  <si>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</si>
  <si>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</si>
  <si>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</si>
  <si>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</si>
  <si>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</si>
  <si>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</si>
  <si>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</si>
  <si>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</si>
  <si>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</si>
  <si>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</si>
  <si>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</si>
  <si>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</si>
  <si>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</si>
  <si>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</si>
  <si>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</si>
  <si>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</si>
  <si>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</si>
  <si>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</si>
  <si>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</si>
  <si>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</si>
  <si>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</si>
  <si>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</si>
  <si>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</si>
  <si>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</si>
  <si>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</si>
  <si>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</si>
  <si>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</si>
  <si>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</si>
  <si>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</si>
  <si>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</si>
  <si>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</si>
  <si>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</si>
  <si>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</si>
  <si>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</si>
  <si>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</si>
  <si>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</si>
  <si>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</si>
  <si>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</si>
  <si>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</si>
  <si>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</si>
  <si>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</si>
  <si>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</si>
  <si>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</si>
  <si>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</si>
  <si>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</si>
  <si>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</si>
  <si>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</si>
  <si>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</si>
  <si>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</si>
  <si>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</si>
  <si>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</si>
  <si>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</si>
  <si>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</si>
  <si>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</si>
  <si>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</si>
  <si>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</si>
  <si>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</si>
  <si>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</si>
  <si>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</si>
  <si>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</si>
  <si>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</si>
  <si>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</si>
  <si>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</si>
  <si>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</si>
  <si>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</si>
  <si>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</si>
  <si>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</si>
  <si>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</si>
  <si>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</si>
  <si>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</si>
  <si>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</si>
  <si>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</si>
  <si>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</si>
  <si>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</si>
  <si>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</si>
  <si>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</si>
  <si>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</si>
  <si>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</si>
  <si>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</si>
  <si>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</si>
  <si>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</si>
  <si>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</si>
  <si>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</si>
  <si>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</si>
  <si>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</si>
  <si>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</si>
  <si>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</si>
  <si>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</si>
  <si>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</si>
  <si>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</si>
  <si>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</si>
  <si>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</si>
  <si>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</si>
  <si>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</si>
  <si>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</si>
  <si>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</si>
  <si>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</si>
  <si>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</si>
  <si>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</si>
  <si>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</si>
  <si>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</si>
  <si>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</si>
  <si>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</si>
  <si>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</si>
  <si>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</si>
  <si>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</si>
  <si>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</si>
  <si>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</si>
  <si>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</si>
  <si>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</si>
  <si>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</si>
  <si>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</si>
  <si>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</si>
  <si>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</si>
  <si>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</si>
  <si>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</si>
  <si>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</si>
  <si>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</si>
  <si>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</si>
  <si>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</si>
  <si>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</si>
  <si>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</si>
  <si>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</si>
  <si>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</si>
  <si>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</si>
  <si>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</si>
  <si>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</si>
  <si>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</si>
  <si>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</si>
  <si>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</si>
  <si>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</si>
  <si>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</si>
  <si>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</si>
  <si>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</si>
  <si>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</si>
  <si>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</si>
  <si>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</si>
  <si>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</si>
  <si>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</si>
  <si>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</si>
  <si>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</si>
  <si>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</si>
  <si>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</si>
  <si>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</si>
  <si>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</si>
  <si>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</si>
  <si>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</si>
  <si>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</si>
  <si>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</si>
  <si>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</si>
  <si>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</si>
  <si>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</si>
  <si>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</si>
  <si>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</si>
  <si>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</si>
  <si>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</si>
  <si>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</si>
  <si>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</si>
  <si>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</si>
  <si>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</si>
  <si>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</si>
  <si>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</si>
  <si>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</si>
  <si>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</si>
  <si>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</si>
  <si>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</si>
  <si>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</si>
  <si>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</si>
  <si>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</si>
  <si>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</si>
  <si>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</si>
  <si>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</si>
  <si>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</si>
  <si>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</si>
  <si>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</si>
  <si>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</si>
  <si>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</si>
  <si>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</si>
  <si>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</si>
  <si>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</si>
  <si>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</si>
  <si>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</si>
  <si>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</si>
  <si>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</si>
  <si>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</si>
  <si>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</si>
  <si>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</si>
  <si>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</si>
  <si>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</si>
  <si>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</si>
  <si>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</si>
  <si>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</si>
  <si>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</si>
  <si>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</si>
  <si>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</si>
  <si>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</si>
  <si>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</si>
  <si>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</si>
  <si>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</si>
  <si>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</si>
  <si>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</si>
  <si>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</si>
  <si>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</si>
  <si>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</si>
  <si>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</si>
  <si>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</si>
  <si>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</si>
  <si>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</si>
  <si>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</si>
  <si>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</si>
  <si>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</si>
  <si>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</si>
  <si>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</si>
  <si>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</si>
  <si>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</si>
  <si>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</si>
  <si>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</si>
  <si>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</si>
  <si>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</si>
  <si>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</si>
  <si>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</si>
  <si>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</si>
  <si>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</si>
  <si>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</si>
  <si>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</si>
  <si>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</si>
  <si>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</si>
  <si>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</si>
  <si>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</si>
  <si>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</si>
  <si>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</si>
  <si>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</si>
  <si>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</si>
  <si>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</si>
  <si>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</si>
  <si>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</si>
  <si>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</si>
  <si>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</si>
  <si>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</si>
  <si>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</si>
  <si>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</si>
  <si>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</si>
  <si>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</si>
  <si>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</si>
  <si>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</si>
  <si>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</si>
  <si>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</si>
  <si>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</si>
  <si>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</si>
  <si>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</si>
  <si>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</si>
  <si>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</si>
  <si>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</si>
  <si>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</si>
  <si>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</si>
  <si>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</si>
  <si>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</si>
  <si>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</si>
  <si>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</si>
  <si>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</si>
  <si>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</si>
  <si>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</si>
  <si>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</si>
  <si>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</si>
  <si>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</si>
  <si>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</si>
  <si>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</si>
  <si>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</si>
  <si>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</si>
  <si>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</si>
  <si>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</si>
  <si>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</si>
  <si>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</si>
  <si>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</si>
  <si>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</si>
  <si>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</si>
  <si>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</si>
  <si>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</si>
  <si>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</si>
  <si>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</si>
  <si>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</si>
  <si>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</si>
  <si>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</si>
  <si>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</si>
  <si>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</si>
  <si>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</si>
  <si>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</si>
  <si>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</si>
  <si>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</si>
  <si>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</si>
  <si>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</si>
  <si>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</si>
  <si>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</si>
  <si>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</si>
  <si>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</si>
  <si>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</si>
  <si>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</si>
  <si>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</si>
  <si>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</si>
  <si>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</si>
  <si>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</si>
  <si>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</si>
  <si>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</si>
  <si>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</si>
  <si>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</si>
  <si>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</si>
  <si>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</si>
  <si>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</si>
  <si>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</si>
  <si>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</si>
  <si>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</si>
  <si>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</si>
  <si>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</si>
  <si>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</si>
  <si>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</si>
  <si>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</si>
  <si>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</si>
  <si>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</si>
  <si>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</si>
  <si>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</si>
  <si>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</si>
  <si>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</si>
  <si>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</si>
  <si>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</si>
  <si>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</si>
  <si>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</si>
  <si>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</si>
  <si>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</si>
  <si>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</si>
  <si>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</si>
  <si>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</si>
  <si>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</si>
  <si>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</si>
  <si>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</si>
  <si>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</si>
  <si>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</si>
  <si>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</si>
  <si>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</si>
  <si>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</si>
  <si>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</si>
  <si>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</si>
  <si>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</si>
  <si>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</si>
  <si>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</si>
  <si>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</si>
  <si>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</si>
  <si>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</si>
  <si>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</si>
  <si>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</si>
  <si>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</si>
  <si>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</si>
  <si>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</si>
  <si>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</si>
  <si>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</si>
  <si>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</si>
  <si>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</si>
  <si>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</si>
  <si>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</si>
  <si>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</si>
  <si>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</si>
  <si>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</si>
  <si>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</si>
  <si>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</si>
  <si>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</si>
  <si>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</si>
  <si>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</si>
  <si>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</si>
  <si>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</si>
  <si>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</si>
  <si>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</si>
  <si>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</si>
  <si>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</si>
  <si>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</si>
  <si>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</si>
  <si>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</si>
  <si>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</si>
  <si>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</si>
  <si>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</si>
  <si>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</si>
  <si>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</si>
  <si>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</si>
  <si>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</si>
  <si>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</si>
  <si>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</si>
  <si>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</si>
  <si>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</si>
  <si>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</si>
  <si>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</si>
  <si>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</si>
  <si>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</si>
  <si>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</si>
  <si>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</si>
  <si>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</si>
  <si>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</si>
  <si>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</si>
  <si>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</si>
  <si>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</si>
  <si>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</si>
  <si>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</si>
  <si>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</si>
  <si>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</si>
  <si>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</si>
  <si>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</si>
  <si>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</si>
  <si>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</si>
  <si>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</si>
  <si>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</si>
  <si>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</si>
  <si>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</si>
  <si>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</si>
  <si>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</si>
  <si>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</si>
  <si>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</si>
  <si>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</si>
  <si>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</si>
  <si>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</si>
  <si>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</si>
  <si>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</si>
  <si>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</si>
  <si>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</si>
  <si>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</si>
  <si>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</si>
  <si>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</si>
  <si>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</si>
  <si>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</si>
  <si>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</si>
  <si>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</si>
  <si>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</si>
  <si>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</si>
  <si>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</si>
  <si>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</si>
  <si>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</si>
  <si>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</si>
  <si>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</si>
  <si>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</si>
  <si>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</si>
  <si>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</si>
  <si>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</si>
  <si>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</si>
  <si>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</si>
  <si>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</si>
  <si>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</si>
  <si>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</si>
  <si>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</si>
  <si>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</si>
  <si>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</si>
  <si>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</si>
  <si>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</si>
  <si>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</si>
  <si>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</si>
  <si>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</si>
  <si>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</si>
  <si>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</si>
  <si>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</si>
  <si>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</si>
  <si>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</si>
  <si>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</si>
  <si>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</si>
  <si>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</si>
  <si>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</si>
  <si>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</si>
  <si>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</si>
  <si>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</si>
  <si>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</si>
  <si>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</si>
  <si>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</si>
  <si>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</si>
  <si>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</si>
  <si>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</si>
  <si>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</si>
  <si>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</si>
  <si>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</si>
  <si>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</si>
  <si>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</si>
  <si>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</si>
  <si>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</si>
  <si>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</si>
  <si>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</si>
  <si>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</si>
  <si>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</si>
  <si>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</si>
  <si>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</si>
  <si>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</si>
  <si>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</si>
  <si>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</si>
  <si>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</si>
  <si>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</si>
  <si>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</si>
  <si>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</si>
  <si>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</si>
  <si>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</si>
  <si>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</si>
  <si>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</si>
  <si>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</si>
  <si>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</si>
  <si>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</si>
  <si>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</si>
  <si>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</si>
  <si>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</si>
  <si>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</si>
  <si>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</si>
  <si>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</si>
  <si>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</si>
  <si>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</si>
  <si>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</si>
  <si>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</si>
  <si>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</si>
  <si>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</si>
  <si>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</si>
  <si>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</si>
  <si>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</si>
  <si>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</si>
  <si>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</si>
  <si>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</si>
  <si>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</si>
  <si>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</si>
  <si>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</si>
  <si>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</si>
  <si>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</si>
  <si>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</si>
  <si>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</si>
  <si>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</si>
  <si>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</si>
  <si>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</si>
  <si>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</si>
  <si>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</si>
  <si>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</si>
  <si>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</si>
  <si>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</si>
  <si>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</si>
  <si>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</si>
  <si>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</si>
  <si>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</si>
  <si>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</si>
  <si>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</si>
  <si>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</si>
  <si>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</si>
  <si>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</si>
  <si>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</si>
  <si>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</si>
  <si>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</si>
  <si>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</si>
  <si>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</si>
  <si>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</si>
  <si>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</si>
  <si>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</si>
  <si>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</si>
  <si>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</si>
  <si>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</si>
  <si>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</si>
  <si>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</si>
  <si>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</si>
  <si>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</si>
  <si>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</si>
  <si>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</si>
  <si>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</si>
  <si>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</si>
  <si>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</si>
  <si>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</si>
  <si>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</si>
  <si>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</si>
  <si>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</si>
  <si>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</si>
  <si>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</si>
  <si>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</si>
  <si>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</si>
  <si>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</si>
  <si>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</si>
  <si>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</si>
  <si>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</si>
  <si>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</si>
  <si>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</si>
  <si>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</si>
  <si>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</si>
  <si>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</si>
  <si>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</si>
  <si>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</si>
  <si>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</si>
  <si>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</si>
  <si>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</si>
  <si>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</si>
  <si>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</si>
  <si>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</si>
  <si>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</si>
  <si>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</si>
  <si>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</si>
  <si>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</si>
  <si>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</si>
  <si>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</si>
  <si>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</si>
  <si>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</si>
  <si>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</si>
  <si>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</si>
  <si>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</si>
  <si>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</si>
  <si>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</si>
  <si>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</si>
  <si>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</si>
  <si>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</si>
  <si>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</si>
  <si>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</si>
  <si>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</si>
  <si>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</si>
  <si>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</si>
  <si>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</si>
  <si>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</si>
  <si>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</si>
  <si>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</si>
  <si>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</si>
  <si>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</si>
  <si>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</si>
  <si>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</si>
  <si>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</si>
  <si>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</si>
  <si>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</si>
  <si>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</si>
  <si>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</si>
  <si>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</si>
  <si>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</si>
  <si>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</si>
  <si>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</si>
  <si>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</si>
  <si>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</si>
  <si>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</si>
  <si>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</si>
  <si>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</si>
  <si>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</si>
  <si>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</si>
  <si>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</si>
  <si>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</si>
  <si>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</si>
  <si>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</si>
  <si>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</si>
  <si>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</si>
  <si>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</si>
  <si>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</si>
  <si>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</si>
  <si>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</si>
  <si>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</si>
  <si>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</si>
  <si>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</si>
  <si>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</si>
  <si>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</si>
  <si>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</si>
  <si>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</si>
  <si>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</si>
  <si>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</si>
  <si>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</si>
  <si>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</si>
  <si>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</si>
  <si>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</si>
  <si>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</si>
  <si>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</si>
  <si>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</si>
  <si>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</si>
  <si>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</si>
  <si>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</si>
  <si>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</si>
  <si>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</si>
  <si>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</si>
  <si>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</si>
  <si>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"МОНБАТ" АД</t>
  </si>
  <si>
    <t>КОНСОЛИДИРАН</t>
  </si>
  <si>
    <t>01.01-31.12.2007</t>
  </si>
  <si>
    <t>ЕКОБАТ АД СОФИЯ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</si>
</sst>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14" fontId="8" fillId="0" borderId="1" xfId="27" applyNumberFormat="1" applyFont="1" applyBorder="1" applyAlignment="1" applyProtection="1" quotePrefix="1">
      <alignment horizontal="left" vertical="top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  <xf numFmtId="1" fontId="13" fillId="3" borderId="1" xfId="29" applyNumberFormat="1" applyFont="1" applyFill="1" applyBorder="1" applyProtection="1">
      <alignment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1">
      <selection activeCell="A15" sqref="A15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111028849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600" t="s">
        <v>868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6848</v>
      </c>
      <c r="D11" s="205">
        <v>5288</v>
      </c>
      <c r="E11" s="293" t="s">
        <v>22</v>
      </c>
      <c r="F11" s="298" t="s">
        <v>23</v>
      </c>
      <c r="G11" s="206">
        <v>19500</v>
      </c>
      <c r="H11" s="206">
        <v>19550</v>
      </c>
    </row>
    <row r="12" spans="1:8" ht="15">
      <c r="A12" s="291" t="s">
        <v>24</v>
      </c>
      <c r="B12" s="297" t="s">
        <v>25</v>
      </c>
      <c r="C12" s="205">
        <v>10760</v>
      </c>
      <c r="D12" s="205">
        <v>9026</v>
      </c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16164</v>
      </c>
      <c r="D13" s="205">
        <v>14105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7200</v>
      </c>
      <c r="D14" s="205">
        <v>1533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1639</v>
      </c>
      <c r="D15" s="205">
        <v>1475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1439</v>
      </c>
      <c r="D16" s="205">
        <v>1072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5714</v>
      </c>
      <c r="D17" s="205">
        <v>1083</v>
      </c>
      <c r="E17" s="299" t="s">
        <v>46</v>
      </c>
      <c r="F17" s="301" t="s">
        <v>47</v>
      </c>
      <c r="G17" s="208">
        <f>G11+G14+G15+G16</f>
        <v>19500</v>
      </c>
      <c r="H17" s="208">
        <f>H11+H14+H15+H16</f>
        <v>19550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>
        <v>8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49764</v>
      </c>
      <c r="D19" s="209">
        <f>SUM(D11:D18)</f>
        <v>33590</v>
      </c>
      <c r="E19" s="293" t="s">
        <v>53</v>
      </c>
      <c r="F19" s="298" t="s">
        <v>54</v>
      </c>
      <c r="G19" s="206">
        <v>27965</v>
      </c>
      <c r="H19" s="206">
        <v>27965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13922</v>
      </c>
      <c r="H20" s="212">
        <v>7475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5082</v>
      </c>
      <c r="H21" s="210">
        <f>SUM(H22:H24)</f>
        <v>6889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5082</v>
      </c>
      <c r="H22" s="206">
        <v>5570</v>
      </c>
    </row>
    <row r="23" spans="1:13" ht="15">
      <c r="A23" s="291" t="s">
        <v>66</v>
      </c>
      <c r="B23" s="297" t="s">
        <v>67</v>
      </c>
      <c r="C23" s="205">
        <v>28</v>
      </c>
      <c r="D23" s="205">
        <v>20</v>
      </c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25</v>
      </c>
      <c r="D24" s="205">
        <v>19</v>
      </c>
      <c r="E24" s="293" t="s">
        <v>72</v>
      </c>
      <c r="F24" s="298" t="s">
        <v>73</v>
      </c>
      <c r="G24" s="206"/>
      <c r="H24" s="206">
        <v>1319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46969</v>
      </c>
      <c r="H25" s="208">
        <f>H19+H20+H21</f>
        <v>42329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6</v>
      </c>
      <c r="D26" s="205">
        <v>8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59</v>
      </c>
      <c r="D27" s="209">
        <f>SUM(D23:D26)</f>
        <v>47</v>
      </c>
      <c r="E27" s="309" t="s">
        <v>83</v>
      </c>
      <c r="F27" s="298" t="s">
        <v>84</v>
      </c>
      <c r="G27" s="208">
        <f>SUM(G28:G30)</f>
        <v>3406</v>
      </c>
      <c r="H27" s="208">
        <f>SUM(H28:H30)</f>
        <v>3497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3441</v>
      </c>
      <c r="H28" s="206">
        <v>3497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-35</v>
      </c>
      <c r="H29" s="391"/>
      <c r="M29" s="211"/>
    </row>
    <row r="30" spans="1:8" ht="15">
      <c r="A30" s="291" t="s">
        <v>90</v>
      </c>
      <c r="B30" s="297" t="s">
        <v>91</v>
      </c>
      <c r="C30" s="205">
        <v>445</v>
      </c>
      <c r="D30" s="205">
        <v>122</v>
      </c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16885</v>
      </c>
      <c r="H31" s="206">
        <v>8430</v>
      </c>
      <c r="M31" s="211"/>
    </row>
    <row r="32" spans="1:15" ht="15">
      <c r="A32" s="291" t="s">
        <v>98</v>
      </c>
      <c r="B32" s="306" t="s">
        <v>99</v>
      </c>
      <c r="C32" s="209">
        <f>C30+C31</f>
        <v>445</v>
      </c>
      <c r="D32" s="209">
        <f>D30+D31</f>
        <v>122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20291</v>
      </c>
      <c r="H33" s="208">
        <f>H27+H31+H32</f>
        <v>11927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8</v>
      </c>
      <c r="D34" s="209">
        <f>SUM(D35:D38)</f>
        <v>8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86760</v>
      </c>
      <c r="H36" s="208">
        <f>H25+H17+H33</f>
        <v>73806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8</v>
      </c>
      <c r="D38" s="205">
        <v>8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>
        <v>316</v>
      </c>
      <c r="H39" s="212">
        <v>254</v>
      </c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18897</v>
      </c>
      <c r="H44" s="206">
        <v>605</v>
      </c>
    </row>
    <row r="45" spans="1:15" ht="15">
      <c r="A45" s="291" t="s">
        <v>136</v>
      </c>
      <c r="B45" s="305" t="s">
        <v>137</v>
      </c>
      <c r="C45" s="209">
        <f>C34+C39+C44</f>
        <v>8</v>
      </c>
      <c r="D45" s="209">
        <f>D34+D39+D44</f>
        <v>8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>
        <v>770</v>
      </c>
      <c r="H46" s="206">
        <v>1067</v>
      </c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>
        <v>48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19667</v>
      </c>
      <c r="H49" s="208">
        <f>SUM(H43:H48)</f>
        <v>1720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1816</v>
      </c>
      <c r="H53" s="206">
        <v>1589</v>
      </c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50276</v>
      </c>
      <c r="D55" s="209">
        <f>D19+D20+D21+D27+D32+D45+D51+D53+D54</f>
        <v>33767</v>
      </c>
      <c r="E55" s="293" t="s">
        <v>172</v>
      </c>
      <c r="F55" s="317" t="s">
        <v>173</v>
      </c>
      <c r="G55" s="208">
        <f>G49+G51+G52+G53+G54</f>
        <v>21483</v>
      </c>
      <c r="H55" s="208">
        <f>H49+H51+H52+H53+H54</f>
        <v>3309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11946</v>
      </c>
      <c r="D58" s="205">
        <v>8866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6067</v>
      </c>
      <c r="D59" s="205">
        <v>1545</v>
      </c>
      <c r="E59" s="307" t="s">
        <v>181</v>
      </c>
      <c r="F59" s="298" t="s">
        <v>182</v>
      </c>
      <c r="G59" s="206">
        <v>5623</v>
      </c>
      <c r="H59" s="206">
        <v>320</v>
      </c>
      <c r="M59" s="211"/>
    </row>
    <row r="60" spans="1:8" ht="15">
      <c r="A60" s="291" t="s">
        <v>183</v>
      </c>
      <c r="B60" s="297" t="s">
        <v>184</v>
      </c>
      <c r="C60" s="205">
        <v>703</v>
      </c>
      <c r="D60" s="205">
        <v>78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22915</v>
      </c>
      <c r="D61" s="205">
        <v>12303</v>
      </c>
      <c r="E61" s="299" t="s">
        <v>189</v>
      </c>
      <c r="F61" s="328" t="s">
        <v>190</v>
      </c>
      <c r="G61" s="208">
        <f>SUM(G62:G68)</f>
        <v>9526</v>
      </c>
      <c r="H61" s="208">
        <f>SUM(H62:H68)</f>
        <v>7870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>
        <v>6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41631</v>
      </c>
      <c r="D64" s="209">
        <f>SUM(D58:D63)</f>
        <v>22792</v>
      </c>
      <c r="E64" s="293" t="s">
        <v>200</v>
      </c>
      <c r="F64" s="298" t="s">
        <v>201</v>
      </c>
      <c r="G64" s="206">
        <v>6918</v>
      </c>
      <c r="H64" s="206">
        <v>5554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415</v>
      </c>
      <c r="H65" s="206">
        <v>348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638</v>
      </c>
      <c r="H66" s="206">
        <v>509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255</v>
      </c>
      <c r="H67" s="206">
        <v>233</v>
      </c>
    </row>
    <row r="68" spans="1:8" ht="15">
      <c r="A68" s="291" t="s">
        <v>211</v>
      </c>
      <c r="B68" s="297" t="s">
        <v>212</v>
      </c>
      <c r="C68" s="205">
        <v>21524</v>
      </c>
      <c r="D68" s="205">
        <v>10821</v>
      </c>
      <c r="E68" s="293" t="s">
        <v>213</v>
      </c>
      <c r="F68" s="298" t="s">
        <v>214</v>
      </c>
      <c r="G68" s="206">
        <v>1300</v>
      </c>
      <c r="H68" s="206">
        <v>1220</v>
      </c>
    </row>
    <row r="69" spans="1:8" ht="15">
      <c r="A69" s="291" t="s">
        <v>215</v>
      </c>
      <c r="B69" s="297" t="s">
        <v>216</v>
      </c>
      <c r="C69" s="205">
        <v>1785</v>
      </c>
      <c r="D69" s="205">
        <v>1626</v>
      </c>
      <c r="E69" s="307" t="s">
        <v>78</v>
      </c>
      <c r="F69" s="298" t="s">
        <v>217</v>
      </c>
      <c r="G69" s="206">
        <v>76</v>
      </c>
      <c r="H69" s="206">
        <v>8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>
        <v>299</v>
      </c>
      <c r="H70" s="206">
        <v>251</v>
      </c>
    </row>
    <row r="71" spans="1:18" ht="15">
      <c r="A71" s="291" t="s">
        <v>222</v>
      </c>
      <c r="B71" s="297" t="s">
        <v>223</v>
      </c>
      <c r="C71" s="205">
        <v>649</v>
      </c>
      <c r="D71" s="205">
        <v>995</v>
      </c>
      <c r="E71" s="309" t="s">
        <v>46</v>
      </c>
      <c r="F71" s="329" t="s">
        <v>224</v>
      </c>
      <c r="G71" s="215">
        <f>G59+G60+G61+G69+G70</f>
        <v>15524</v>
      </c>
      <c r="H71" s="215">
        <f>H59+H60+H61+H69+H70</f>
        <v>8449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1340</v>
      </c>
      <c r="D72" s="205">
        <v>2149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983</v>
      </c>
      <c r="D74" s="205">
        <v>6145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26281</v>
      </c>
      <c r="D75" s="209">
        <f>SUM(D67:D74)</f>
        <v>21736</v>
      </c>
      <c r="E75" s="307" t="s">
        <v>160</v>
      </c>
      <c r="F75" s="301" t="s">
        <v>234</v>
      </c>
      <c r="G75" s="206">
        <v>96</v>
      </c>
      <c r="H75" s="206">
        <v>5</v>
      </c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15620</v>
      </c>
      <c r="H79" s="216">
        <f>H71+H74+H75+H76</f>
        <v>8454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1240</v>
      </c>
      <c r="D87" s="205">
        <v>2149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4601</v>
      </c>
      <c r="D88" s="205">
        <f>4897+59</f>
        <v>4956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93</v>
      </c>
      <c r="D89" s="205">
        <v>77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5934</v>
      </c>
      <c r="D91" s="209">
        <f>SUM(D87:D90)</f>
        <v>7182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57</v>
      </c>
      <c r="D92" s="205">
        <v>346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73903</v>
      </c>
      <c r="D93" s="209">
        <f>D64+D75+D84+D91+D92</f>
        <v>52056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124179</v>
      </c>
      <c r="D94" s="218">
        <f>D93+D55</f>
        <v>85823</v>
      </c>
      <c r="E94" s="558" t="s">
        <v>270</v>
      </c>
      <c r="F94" s="345" t="s">
        <v>271</v>
      </c>
      <c r="G94" s="219">
        <f>G36+G39+G55+G79</f>
        <v>124179</v>
      </c>
      <c r="H94" s="219">
        <f>H36+H39+H55+H79</f>
        <v>85823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G31" sqref="G31:H32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"МОНБАТ" АД</v>
      </c>
      <c r="F2" s="597" t="s">
        <v>2</v>
      </c>
      <c r="G2" s="597"/>
      <c r="H2" s="353">
        <f>'справка №1-БАЛАНС'!H3</f>
        <v>111028849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01.01-31.12.2007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>
        <f>108150-682-1799-675-137</f>
        <v>104857</v>
      </c>
      <c r="D9" s="79">
        <f>50143-14-5-13</f>
        <v>50111</v>
      </c>
      <c r="E9" s="363" t="s">
        <v>284</v>
      </c>
      <c r="F9" s="365" t="s">
        <v>285</v>
      </c>
      <c r="G9" s="640">
        <v>133631</v>
      </c>
      <c r="H9" s="640">
        <v>82155</v>
      </c>
    </row>
    <row r="10" spans="1:8" ht="12">
      <c r="A10" s="363" t="s">
        <v>286</v>
      </c>
      <c r="B10" s="364" t="s">
        <v>287</v>
      </c>
      <c r="C10" s="79">
        <f>14528-274-1326-1457</f>
        <v>11471</v>
      </c>
      <c r="D10" s="79">
        <f>9115-334-162-390</f>
        <v>8229</v>
      </c>
      <c r="E10" s="363" t="s">
        <v>288</v>
      </c>
      <c r="F10" s="365" t="s">
        <v>289</v>
      </c>
      <c r="G10" s="640">
        <v>469</v>
      </c>
      <c r="H10" s="640">
        <v>1037</v>
      </c>
    </row>
    <row r="11" spans="1:8" ht="12">
      <c r="A11" s="363" t="s">
        <v>290</v>
      </c>
      <c r="B11" s="364" t="s">
        <v>291</v>
      </c>
      <c r="C11" s="79">
        <v>4553</v>
      </c>
      <c r="D11" s="79">
        <v>4495</v>
      </c>
      <c r="E11" s="366" t="s">
        <v>292</v>
      </c>
      <c r="F11" s="365" t="s">
        <v>293</v>
      </c>
      <c r="G11" s="640">
        <v>2964</v>
      </c>
      <c r="H11" s="640">
        <v>113</v>
      </c>
    </row>
    <row r="12" spans="1:8" ht="12">
      <c r="A12" s="363" t="s">
        <v>294</v>
      </c>
      <c r="B12" s="364" t="s">
        <v>295</v>
      </c>
      <c r="C12" s="79">
        <v>7933</v>
      </c>
      <c r="D12" s="79">
        <v>6389</v>
      </c>
      <c r="E12" s="366" t="s">
        <v>78</v>
      </c>
      <c r="F12" s="365" t="s">
        <v>296</v>
      </c>
      <c r="G12" s="640">
        <v>4162</v>
      </c>
      <c r="H12" s="640">
        <v>2000</v>
      </c>
    </row>
    <row r="13" spans="1:18" ht="12">
      <c r="A13" s="363" t="s">
        <v>297</v>
      </c>
      <c r="B13" s="364" t="s">
        <v>298</v>
      </c>
      <c r="C13" s="79">
        <v>2020</v>
      </c>
      <c r="D13" s="79">
        <v>1770</v>
      </c>
      <c r="E13" s="367" t="s">
        <v>51</v>
      </c>
      <c r="F13" s="368" t="s">
        <v>299</v>
      </c>
      <c r="G13" s="88">
        <f>SUM(G9:G12)</f>
        <v>141226</v>
      </c>
      <c r="H13" s="88">
        <f>SUM(H9:H12)</f>
        <v>85305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>
        <v>2710</v>
      </c>
      <c r="D14" s="79">
        <v>2886</v>
      </c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>
        <v>-15273</v>
      </c>
      <c r="D15" s="80">
        <v>-1093</v>
      </c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f>2773-114</f>
        <v>2659</v>
      </c>
      <c r="D16" s="80">
        <f>1155-150</f>
        <v>1005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>
        <v>190</v>
      </c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>
        <v>96</v>
      </c>
      <c r="D18" s="81">
        <v>53</v>
      </c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120930</v>
      </c>
      <c r="D19" s="82">
        <f>SUM(D9:D15)+D16</f>
        <v>73792</v>
      </c>
      <c r="E19" s="373" t="s">
        <v>316</v>
      </c>
      <c r="F19" s="369" t="s">
        <v>317</v>
      </c>
      <c r="G19" s="640">
        <v>53</v>
      </c>
      <c r="H19" s="640">
        <v>18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640"/>
      <c r="H20" s="640">
        <v>95</v>
      </c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640"/>
      <c r="H21" s="640"/>
    </row>
    <row r="22" spans="1:8" ht="24">
      <c r="A22" s="360" t="s">
        <v>323</v>
      </c>
      <c r="B22" s="375" t="s">
        <v>324</v>
      </c>
      <c r="C22" s="79">
        <v>753</v>
      </c>
      <c r="D22" s="79">
        <v>1409</v>
      </c>
      <c r="E22" s="373" t="s">
        <v>325</v>
      </c>
      <c r="F22" s="369" t="s">
        <v>326</v>
      </c>
      <c r="G22" s="640">
        <v>257</v>
      </c>
      <c r="H22" s="640">
        <v>304</v>
      </c>
    </row>
    <row r="23" spans="1:8" ht="24">
      <c r="A23" s="363" t="s">
        <v>327</v>
      </c>
      <c r="B23" s="375" t="s">
        <v>328</v>
      </c>
      <c r="C23" s="79"/>
      <c r="D23" s="79">
        <v>18</v>
      </c>
      <c r="E23" s="363" t="s">
        <v>329</v>
      </c>
      <c r="F23" s="369" t="s">
        <v>330</v>
      </c>
      <c r="G23" s="640">
        <v>2</v>
      </c>
      <c r="H23" s="640"/>
    </row>
    <row r="24" spans="1:18" ht="12">
      <c r="A24" s="363" t="s">
        <v>331</v>
      </c>
      <c r="B24" s="375" t="s">
        <v>332</v>
      </c>
      <c r="C24" s="79">
        <v>452</v>
      </c>
      <c r="D24" s="79">
        <v>397</v>
      </c>
      <c r="E24" s="367" t="s">
        <v>103</v>
      </c>
      <c r="F24" s="370" t="s">
        <v>333</v>
      </c>
      <c r="G24" s="88">
        <f>SUM(G19:G23)</f>
        <v>312</v>
      </c>
      <c r="H24" s="88">
        <f>SUM(H19:H23)</f>
        <v>417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>
        <v>464</v>
      </c>
      <c r="D25" s="79">
        <v>227</v>
      </c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1669</v>
      </c>
      <c r="D26" s="82">
        <f>SUM(D22:D25)</f>
        <v>2051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122599</v>
      </c>
      <c r="D28" s="83">
        <f>D26+D19</f>
        <v>75843</v>
      </c>
      <c r="E28" s="174" t="s">
        <v>338</v>
      </c>
      <c r="F28" s="370" t="s">
        <v>339</v>
      </c>
      <c r="G28" s="88">
        <f>G13+G15+G24</f>
        <v>141538</v>
      </c>
      <c r="H28" s="88">
        <f>H13+H15+H24</f>
        <v>85722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18939</v>
      </c>
      <c r="D30" s="83">
        <f>IF((H28-D28)&gt;0,H28-D28,0)</f>
        <v>9879</v>
      </c>
      <c r="E30" s="174" t="s">
        <v>342</v>
      </c>
      <c r="F30" s="370" t="s">
        <v>343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640"/>
      <c r="H31" s="640"/>
    </row>
    <row r="32" spans="1:8" ht="12">
      <c r="A32" s="361" t="s">
        <v>346</v>
      </c>
      <c r="B32" s="378" t="s">
        <v>347</v>
      </c>
      <c r="C32" s="79">
        <v>5</v>
      </c>
      <c r="D32" s="79">
        <v>12</v>
      </c>
      <c r="E32" s="361" t="s">
        <v>348</v>
      </c>
      <c r="F32" s="369" t="s">
        <v>349</v>
      </c>
      <c r="G32" s="640">
        <v>9</v>
      </c>
      <c r="H32" s="640">
        <v>13</v>
      </c>
    </row>
    <row r="33" spans="1:18" ht="12">
      <c r="A33" s="379" t="s">
        <v>350</v>
      </c>
      <c r="B33" s="376" t="s">
        <v>351</v>
      </c>
      <c r="C33" s="82">
        <f>C28-C31+C32</f>
        <v>122604</v>
      </c>
      <c r="D33" s="82">
        <f>D28-D31+D32</f>
        <v>75855</v>
      </c>
      <c r="E33" s="174" t="s">
        <v>352</v>
      </c>
      <c r="F33" s="370" t="s">
        <v>353</v>
      </c>
      <c r="G33" s="90">
        <f>G32-G31+G28</f>
        <v>141547</v>
      </c>
      <c r="H33" s="90">
        <f>H32-H31+H28</f>
        <v>85735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18943</v>
      </c>
      <c r="D34" s="83">
        <f>IF((H33-D33)&gt;0,H33-D33,0)</f>
        <v>9880</v>
      </c>
      <c r="E34" s="379" t="s">
        <v>356</v>
      </c>
      <c r="F34" s="370" t="s">
        <v>357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2042</v>
      </c>
      <c r="D35" s="82">
        <f>D36+D37+D38</f>
        <v>1394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>
        <v>1813</v>
      </c>
      <c r="D36" s="79">
        <v>1139</v>
      </c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>
        <v>229</v>
      </c>
      <c r="D38" s="173">
        <v>255</v>
      </c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16901</v>
      </c>
      <c r="D39" s="570">
        <f>+IF((H33-D33-D35)&gt;0,H33-D33-D35,0)</f>
        <v>8486</v>
      </c>
      <c r="E39" s="386" t="s">
        <v>368</v>
      </c>
      <c r="F39" s="175" t="s">
        <v>369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>
        <v>16</v>
      </c>
      <c r="D40" s="84">
        <v>56</v>
      </c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16885</v>
      </c>
      <c r="D41" s="85">
        <f>IF(H39=0,IF(D39-D40&gt;0,D39-D40+H40,0),IF(H39-H40&lt;0,H40-H39+D39,0))</f>
        <v>8430</v>
      </c>
      <c r="E41" s="174" t="s">
        <v>375</v>
      </c>
      <c r="F41" s="175" t="s">
        <v>376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141547</v>
      </c>
      <c r="D42" s="86">
        <f>D33+D35+D39</f>
        <v>85735</v>
      </c>
      <c r="E42" s="177" t="s">
        <v>379</v>
      </c>
      <c r="F42" s="178" t="s">
        <v>380</v>
      </c>
      <c r="G42" s="90">
        <f>G39+G33</f>
        <v>141547</v>
      </c>
      <c r="H42" s="90">
        <f>H39+H33</f>
        <v>85735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43" bottom="0.51" header="0.2" footer="0.23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130" zoomScaleNormal="130" workbookViewId="0" topLeftCell="A28">
      <selection activeCell="D46" sqref="D46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"МОНБАТ" АД</v>
      </c>
      <c r="C4" s="397" t="s">
        <v>2</v>
      </c>
      <c r="D4" s="353">
        <f>'справка №1-БАЛАНС'!H3</f>
        <v>111028849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01.01-31.12.2007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131239</v>
      </c>
      <c r="D10" s="92">
        <v>84303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-138653</v>
      </c>
      <c r="D11" s="92">
        <v>-72073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12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-9308</v>
      </c>
      <c r="D13" s="92">
        <v>-7582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13042</v>
      </c>
      <c r="D14" s="92">
        <v>5109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>
        <v>-1680</v>
      </c>
      <c r="D15" s="92">
        <v>-497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>
        <v>-23</v>
      </c>
      <c r="D18" s="92">
        <v>-84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f>-777+1</f>
        <v>-776</v>
      </c>
      <c r="D19" s="92">
        <v>-633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-6159</v>
      </c>
      <c r="D20" s="93">
        <f>SUM(D10:D19)</f>
        <v>8543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>
        <v>-15857</v>
      </c>
      <c r="D22" s="92">
        <v>-3875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>
        <v>175</v>
      </c>
      <c r="D23" s="92">
        <v>937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>
        <f>-3733-3715</f>
        <v>-7448</v>
      </c>
      <c r="D31" s="92">
        <f>-62</f>
        <v>-62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-23130</v>
      </c>
      <c r="D32" s="93">
        <f>SUM(D22:D31)</f>
        <v>-3000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>
        <f>27965+4700</f>
        <v>32665</v>
      </c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>
        <v>30907</v>
      </c>
      <c r="D36" s="92">
        <v>17230</v>
      </c>
      <c r="E36" s="181"/>
      <c r="F36" s="181"/>
      <c r="G36" s="182"/>
    </row>
    <row r="37" spans="1:7" ht="12">
      <c r="A37" s="410" t="s">
        <v>438</v>
      </c>
      <c r="B37" s="411" t="s">
        <v>439</v>
      </c>
      <c r="C37" s="92">
        <v>-1424</v>
      </c>
      <c r="D37" s="92">
        <v>-37838</v>
      </c>
      <c r="E37" s="181"/>
      <c r="F37" s="181"/>
      <c r="G37" s="182"/>
    </row>
    <row r="38" spans="1:7" ht="12">
      <c r="A38" s="410" t="s">
        <v>440</v>
      </c>
      <c r="B38" s="411" t="s">
        <v>441</v>
      </c>
      <c r="C38" s="92">
        <v>-418</v>
      </c>
      <c r="D38" s="92">
        <v>-12501</v>
      </c>
      <c r="E38" s="181"/>
      <c r="F38" s="181"/>
      <c r="G38" s="182"/>
    </row>
    <row r="39" spans="1:7" ht="12">
      <c r="A39" s="410" t="s">
        <v>442</v>
      </c>
      <c r="B39" s="411" t="s">
        <v>443</v>
      </c>
      <c r="C39" s="92">
        <v>-541</v>
      </c>
      <c r="D39" s="92">
        <v>-895</v>
      </c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>
        <v>-483</v>
      </c>
      <c r="D41" s="92">
        <v>-214</v>
      </c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28041</v>
      </c>
      <c r="D42" s="93">
        <f>SUM(D34:D41)</f>
        <v>-1553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-1248</v>
      </c>
      <c r="D43" s="93">
        <f>D42+D32+D20</f>
        <v>3990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7182</v>
      </c>
      <c r="D44" s="184">
        <v>3192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5934</v>
      </c>
      <c r="D45" s="93">
        <f>D44+D43</f>
        <v>7182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f>+C45-C47</f>
        <v>5841</v>
      </c>
      <c r="D46" s="94">
        <f>+D45-D47</f>
        <v>7105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>
        <v>93</v>
      </c>
      <c r="D47" s="94">
        <v>77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8"/>
      <c r="D50" s="598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8"/>
      <c r="D52" s="598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54" right="0.59" top="0.55" bottom="0.59" header="0.21" footer="0.29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2">
      <selection activeCell="M28" sqref="M28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9" t="s">
        <v>460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"МОНБАТ"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111028849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01.01-31.12.2007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19550</v>
      </c>
      <c r="D11" s="96">
        <f>'справка №1-БАЛАНС'!H19</f>
        <v>27965</v>
      </c>
      <c r="E11" s="96">
        <f>'справка №1-БАЛАНС'!H20</f>
        <v>7475</v>
      </c>
      <c r="F11" s="96">
        <f>'справка №1-БАЛАНС'!H22</f>
        <v>5570</v>
      </c>
      <c r="G11" s="96">
        <f>'справка №1-БАЛАНС'!H23</f>
        <v>0</v>
      </c>
      <c r="H11" s="98">
        <v>1319</v>
      </c>
      <c r="I11" s="96">
        <f>'справка №1-БАЛАНС'!H28+'справка №1-БАЛАНС'!H31</f>
        <v>11927</v>
      </c>
      <c r="J11" s="96">
        <f>'справка №1-БАЛАНС'!H29+'справка №1-БАЛАНС'!H32</f>
        <v>0</v>
      </c>
      <c r="K11" s="98"/>
      <c r="L11" s="424">
        <f>SUM(C11:K11)</f>
        <v>73806</v>
      </c>
      <c r="M11" s="96">
        <f>'справка №1-БАЛАНС'!H39</f>
        <v>254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19550</v>
      </c>
      <c r="D15" s="99">
        <f aca="true" t="shared" si="2" ref="D15:M15">D11+D12</f>
        <v>27965</v>
      </c>
      <c r="E15" s="99">
        <f t="shared" si="2"/>
        <v>7475</v>
      </c>
      <c r="F15" s="99">
        <f t="shared" si="2"/>
        <v>5570</v>
      </c>
      <c r="G15" s="99">
        <f t="shared" si="2"/>
        <v>0</v>
      </c>
      <c r="H15" s="99">
        <f t="shared" si="2"/>
        <v>1319</v>
      </c>
      <c r="I15" s="99">
        <f t="shared" si="2"/>
        <v>11927</v>
      </c>
      <c r="J15" s="99">
        <f t="shared" si="2"/>
        <v>0</v>
      </c>
      <c r="K15" s="99">
        <f t="shared" si="2"/>
        <v>0</v>
      </c>
      <c r="L15" s="424">
        <f t="shared" si="1"/>
        <v>73806</v>
      </c>
      <c r="M15" s="99">
        <f t="shared" si="2"/>
        <v>254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16885</v>
      </c>
      <c r="J16" s="425">
        <f>+'справка №1-БАЛАНС'!G32</f>
        <v>0</v>
      </c>
      <c r="K16" s="98"/>
      <c r="L16" s="424">
        <f t="shared" si="1"/>
        <v>16885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6842</v>
      </c>
      <c r="F17" s="100">
        <f t="shared" si="3"/>
        <v>761</v>
      </c>
      <c r="G17" s="100">
        <f t="shared" si="3"/>
        <v>0</v>
      </c>
      <c r="H17" s="100">
        <f t="shared" si="3"/>
        <v>0</v>
      </c>
      <c r="I17" s="100">
        <f t="shared" si="3"/>
        <v>-7603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>
        <v>6842</v>
      </c>
      <c r="F19" s="98">
        <v>761</v>
      </c>
      <c r="G19" s="98"/>
      <c r="H19" s="98"/>
      <c r="I19" s="98">
        <v>-7603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>
        <v>-50</v>
      </c>
      <c r="D28" s="98"/>
      <c r="E28" s="98">
        <v>-395</v>
      </c>
      <c r="F28" s="98">
        <v>-1249</v>
      </c>
      <c r="G28" s="98"/>
      <c r="H28" s="98">
        <v>-1319</v>
      </c>
      <c r="I28" s="98">
        <v>-918</v>
      </c>
      <c r="J28" s="98"/>
      <c r="K28" s="98"/>
      <c r="L28" s="424">
        <f t="shared" si="1"/>
        <v>-3931</v>
      </c>
      <c r="M28" s="98">
        <v>62</v>
      </c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19500</v>
      </c>
      <c r="D29" s="97">
        <f aca="true" t="shared" si="6" ref="D29:M29">D17+D20+D21+D24+D28+D27+D15+D16</f>
        <v>27965</v>
      </c>
      <c r="E29" s="97">
        <f t="shared" si="6"/>
        <v>13922</v>
      </c>
      <c r="F29" s="97">
        <f t="shared" si="6"/>
        <v>5082</v>
      </c>
      <c r="G29" s="97">
        <f t="shared" si="6"/>
        <v>0</v>
      </c>
      <c r="H29" s="97">
        <f t="shared" si="6"/>
        <v>0</v>
      </c>
      <c r="I29" s="97">
        <f t="shared" si="6"/>
        <v>20291</v>
      </c>
      <c r="J29" s="97">
        <f t="shared" si="6"/>
        <v>0</v>
      </c>
      <c r="K29" s="97">
        <f t="shared" si="6"/>
        <v>0</v>
      </c>
      <c r="L29" s="424">
        <f t="shared" si="1"/>
        <v>86760</v>
      </c>
      <c r="M29" s="97">
        <f t="shared" si="6"/>
        <v>316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19500</v>
      </c>
      <c r="D32" s="97">
        <f t="shared" si="7"/>
        <v>27965</v>
      </c>
      <c r="E32" s="97">
        <f t="shared" si="7"/>
        <v>13922</v>
      </c>
      <c r="F32" s="97">
        <f t="shared" si="7"/>
        <v>5082</v>
      </c>
      <c r="G32" s="97">
        <f t="shared" si="7"/>
        <v>0</v>
      </c>
      <c r="H32" s="97">
        <f t="shared" si="7"/>
        <v>0</v>
      </c>
      <c r="I32" s="97">
        <f t="shared" si="7"/>
        <v>20291</v>
      </c>
      <c r="J32" s="97">
        <f t="shared" si="7"/>
        <v>0</v>
      </c>
      <c r="K32" s="97">
        <f t="shared" si="7"/>
        <v>0</v>
      </c>
      <c r="L32" s="424">
        <f t="shared" si="1"/>
        <v>86760</v>
      </c>
      <c r="M32" s="97">
        <f>M29+M30+M31</f>
        <v>316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8" right="0.16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1">
      <selection activeCell="K21" sqref="K21:M2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384</v>
      </c>
      <c r="B2" s="619"/>
      <c r="C2" s="585"/>
      <c r="D2" s="585"/>
      <c r="E2" s="606" t="str">
        <f>'справка №1-БАЛАНС'!E3</f>
        <v>"МОНБАТ"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111028849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01.01-31.12.2007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 t="str">
        <f>'справка №1-БАЛАНС'!H4</f>
        <v> </v>
      </c>
      <c r="Q3" s="625"/>
      <c r="R3" s="354"/>
    </row>
    <row r="4" spans="1:18" ht="12.75">
      <c r="A4" s="436" t="s">
        <v>524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11" t="s">
        <v>464</v>
      </c>
      <c r="B5" s="612"/>
      <c r="C5" s="615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20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20" t="s">
        <v>530</v>
      </c>
      <c r="R5" s="620" t="s">
        <v>531</v>
      </c>
    </row>
    <row r="6" spans="1:18" s="44" customFormat="1" ht="48">
      <c r="A6" s="613"/>
      <c r="B6" s="614"/>
      <c r="C6" s="616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21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21"/>
      <c r="R6" s="621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5288</v>
      </c>
      <c r="E9" s="243">
        <v>2282</v>
      </c>
      <c r="F9" s="243">
        <v>722</v>
      </c>
      <c r="G9" s="113">
        <f>D9+E9-F9</f>
        <v>6848</v>
      </c>
      <c r="H9" s="103"/>
      <c r="I9" s="103"/>
      <c r="J9" s="113">
        <f>G9+H9-I9</f>
        <v>6848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6848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>
        <v>10675</v>
      </c>
      <c r="E10" s="243">
        <v>1972</v>
      </c>
      <c r="F10" s="243"/>
      <c r="G10" s="113">
        <f aca="true" t="shared" si="2" ref="G10:G39">D10+E10-F10</f>
        <v>12647</v>
      </c>
      <c r="H10" s="103"/>
      <c r="I10" s="103"/>
      <c r="J10" s="113">
        <f aca="true" t="shared" si="3" ref="J10:J39">G10+H10-I10</f>
        <v>12647</v>
      </c>
      <c r="K10" s="103">
        <v>1649</v>
      </c>
      <c r="L10" s="103">
        <v>238</v>
      </c>
      <c r="M10" s="103"/>
      <c r="N10" s="113">
        <f aca="true" t="shared" si="4" ref="N10:N39">K10+L10-M10</f>
        <v>1887</v>
      </c>
      <c r="O10" s="103"/>
      <c r="P10" s="103"/>
      <c r="Q10" s="113">
        <f t="shared" si="0"/>
        <v>1887</v>
      </c>
      <c r="R10" s="113">
        <f t="shared" si="1"/>
        <v>10760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35383</v>
      </c>
      <c r="E11" s="243">
        <v>6641</v>
      </c>
      <c r="F11" s="243">
        <v>1360</v>
      </c>
      <c r="G11" s="113">
        <f t="shared" si="2"/>
        <v>40664</v>
      </c>
      <c r="H11" s="103"/>
      <c r="I11" s="103"/>
      <c r="J11" s="113">
        <f t="shared" si="3"/>
        <v>40664</v>
      </c>
      <c r="K11" s="103">
        <v>21278</v>
      </c>
      <c r="L11" s="103">
        <v>3548</v>
      </c>
      <c r="M11" s="103">
        <v>326</v>
      </c>
      <c r="N11" s="113">
        <f t="shared" si="4"/>
        <v>24500</v>
      </c>
      <c r="O11" s="103"/>
      <c r="P11" s="103"/>
      <c r="Q11" s="113">
        <f t="shared" si="0"/>
        <v>24500</v>
      </c>
      <c r="R11" s="113">
        <f t="shared" si="1"/>
        <v>16164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>
        <v>1854</v>
      </c>
      <c r="E12" s="243">
        <v>5775</v>
      </c>
      <c r="F12" s="243">
        <v>35</v>
      </c>
      <c r="G12" s="113">
        <f t="shared" si="2"/>
        <v>7594</v>
      </c>
      <c r="H12" s="103"/>
      <c r="I12" s="103"/>
      <c r="J12" s="113">
        <f t="shared" si="3"/>
        <v>7594</v>
      </c>
      <c r="K12" s="103">
        <v>321</v>
      </c>
      <c r="L12" s="103">
        <v>78</v>
      </c>
      <c r="M12" s="103">
        <v>5</v>
      </c>
      <c r="N12" s="113">
        <f t="shared" si="4"/>
        <v>394</v>
      </c>
      <c r="O12" s="103"/>
      <c r="P12" s="103"/>
      <c r="Q12" s="113">
        <f t="shared" si="0"/>
        <v>394</v>
      </c>
      <c r="R12" s="113">
        <f t="shared" si="1"/>
        <v>7200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>
        <v>2543</v>
      </c>
      <c r="E13" s="243">
        <v>679</v>
      </c>
      <c r="F13" s="243">
        <v>235</v>
      </c>
      <c r="G13" s="113">
        <f t="shared" si="2"/>
        <v>2987</v>
      </c>
      <c r="H13" s="103"/>
      <c r="I13" s="103"/>
      <c r="J13" s="113">
        <f t="shared" si="3"/>
        <v>2987</v>
      </c>
      <c r="K13" s="103">
        <v>1068</v>
      </c>
      <c r="L13" s="103">
        <v>430</v>
      </c>
      <c r="M13" s="103">
        <v>150</v>
      </c>
      <c r="N13" s="113">
        <f t="shared" si="4"/>
        <v>1348</v>
      </c>
      <c r="O13" s="103"/>
      <c r="P13" s="103"/>
      <c r="Q13" s="113">
        <f t="shared" si="0"/>
        <v>1348</v>
      </c>
      <c r="R13" s="113">
        <f t="shared" si="1"/>
        <v>1639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>
        <f>1726</f>
        <v>1726</v>
      </c>
      <c r="E14" s="243">
        <v>602</v>
      </c>
      <c r="F14" s="243">
        <v>3</v>
      </c>
      <c r="G14" s="113">
        <f t="shared" si="2"/>
        <v>2325</v>
      </c>
      <c r="H14" s="103"/>
      <c r="I14" s="103"/>
      <c r="J14" s="113">
        <f t="shared" si="3"/>
        <v>2325</v>
      </c>
      <c r="K14" s="103">
        <f>646</f>
        <v>646</v>
      </c>
      <c r="L14" s="103">
        <v>243</v>
      </c>
      <c r="M14" s="103">
        <v>3</v>
      </c>
      <c r="N14" s="113">
        <f t="shared" si="4"/>
        <v>886</v>
      </c>
      <c r="O14" s="103"/>
      <c r="P14" s="103"/>
      <c r="Q14" s="113">
        <f t="shared" si="0"/>
        <v>886</v>
      </c>
      <c r="R14" s="113">
        <f t="shared" si="1"/>
        <v>1439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>
        <v>1083</v>
      </c>
      <c r="E15" s="565">
        <v>6492</v>
      </c>
      <c r="F15" s="565">
        <v>1861</v>
      </c>
      <c r="G15" s="113">
        <f t="shared" si="2"/>
        <v>5714</v>
      </c>
      <c r="H15" s="566"/>
      <c r="I15" s="566"/>
      <c r="J15" s="113">
        <f t="shared" si="3"/>
        <v>5714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5714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58552</v>
      </c>
      <c r="E17" s="248">
        <f>SUM(E9:E16)</f>
        <v>24443</v>
      </c>
      <c r="F17" s="248">
        <f>SUM(F9:F16)</f>
        <v>4216</v>
      </c>
      <c r="G17" s="113">
        <f t="shared" si="2"/>
        <v>78779</v>
      </c>
      <c r="H17" s="114">
        <f>SUM(H9:H16)</f>
        <v>0</v>
      </c>
      <c r="I17" s="114">
        <f>SUM(I9:I16)</f>
        <v>0</v>
      </c>
      <c r="J17" s="113">
        <f t="shared" si="3"/>
        <v>78779</v>
      </c>
      <c r="K17" s="114">
        <f>SUM(K9:K16)</f>
        <v>24962</v>
      </c>
      <c r="L17" s="114">
        <f>SUM(L9:L16)</f>
        <v>4537</v>
      </c>
      <c r="M17" s="114">
        <f>SUM(M9:M16)</f>
        <v>484</v>
      </c>
      <c r="N17" s="113">
        <f t="shared" si="4"/>
        <v>29015</v>
      </c>
      <c r="O17" s="114">
        <f>SUM(O9:O16)</f>
        <v>0</v>
      </c>
      <c r="P17" s="114">
        <f>SUM(P9:P16)</f>
        <v>0</v>
      </c>
      <c r="Q17" s="113">
        <f t="shared" si="5"/>
        <v>29015</v>
      </c>
      <c r="R17" s="113">
        <f t="shared" si="6"/>
        <v>49764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>
        <v>946</v>
      </c>
      <c r="E21" s="243">
        <v>12</v>
      </c>
      <c r="F21" s="243"/>
      <c r="G21" s="113">
        <f t="shared" si="2"/>
        <v>958</v>
      </c>
      <c r="H21" s="103"/>
      <c r="I21" s="103"/>
      <c r="J21" s="113">
        <f t="shared" si="3"/>
        <v>958</v>
      </c>
      <c r="K21" s="103">
        <v>926</v>
      </c>
      <c r="L21" s="103">
        <v>4</v>
      </c>
      <c r="M21" s="103"/>
      <c r="N21" s="113">
        <f t="shared" si="4"/>
        <v>930</v>
      </c>
      <c r="O21" s="103"/>
      <c r="P21" s="103"/>
      <c r="Q21" s="113">
        <f t="shared" si="5"/>
        <v>930</v>
      </c>
      <c r="R21" s="113">
        <f t="shared" si="6"/>
        <v>28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>
        <v>140</v>
      </c>
      <c r="E22" s="243">
        <v>16</v>
      </c>
      <c r="F22" s="243"/>
      <c r="G22" s="113">
        <f t="shared" si="2"/>
        <v>156</v>
      </c>
      <c r="H22" s="103"/>
      <c r="I22" s="103"/>
      <c r="J22" s="113">
        <f t="shared" si="3"/>
        <v>156</v>
      </c>
      <c r="K22" s="103">
        <v>121</v>
      </c>
      <c r="L22" s="103">
        <v>10</v>
      </c>
      <c r="M22" s="103"/>
      <c r="N22" s="113">
        <f t="shared" si="4"/>
        <v>131</v>
      </c>
      <c r="O22" s="103"/>
      <c r="P22" s="103"/>
      <c r="Q22" s="113">
        <f t="shared" si="5"/>
        <v>131</v>
      </c>
      <c r="R22" s="113">
        <f t="shared" si="6"/>
        <v>25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>
        <v>15</v>
      </c>
      <c r="E24" s="243"/>
      <c r="F24" s="243"/>
      <c r="G24" s="113">
        <f t="shared" si="2"/>
        <v>15</v>
      </c>
      <c r="H24" s="103"/>
      <c r="I24" s="103"/>
      <c r="J24" s="113">
        <f t="shared" si="3"/>
        <v>15</v>
      </c>
      <c r="K24" s="103">
        <v>7</v>
      </c>
      <c r="L24" s="103">
        <v>2</v>
      </c>
      <c r="M24" s="103"/>
      <c r="N24" s="113">
        <f t="shared" si="4"/>
        <v>9</v>
      </c>
      <c r="O24" s="103"/>
      <c r="P24" s="103"/>
      <c r="Q24" s="113">
        <f t="shared" si="5"/>
        <v>9</v>
      </c>
      <c r="R24" s="113">
        <f t="shared" si="6"/>
        <v>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1101</v>
      </c>
      <c r="E25" s="244">
        <f aca="true" t="shared" si="7" ref="E25:P25">SUM(E21:E24)</f>
        <v>28</v>
      </c>
      <c r="F25" s="244">
        <f t="shared" si="7"/>
        <v>0</v>
      </c>
      <c r="G25" s="105">
        <f t="shared" si="2"/>
        <v>1129</v>
      </c>
      <c r="H25" s="104">
        <f t="shared" si="7"/>
        <v>0</v>
      </c>
      <c r="I25" s="104">
        <f t="shared" si="7"/>
        <v>0</v>
      </c>
      <c r="J25" s="105">
        <f t="shared" si="3"/>
        <v>1129</v>
      </c>
      <c r="K25" s="104">
        <f t="shared" si="7"/>
        <v>1054</v>
      </c>
      <c r="L25" s="104">
        <f t="shared" si="7"/>
        <v>16</v>
      </c>
      <c r="M25" s="104">
        <f t="shared" si="7"/>
        <v>0</v>
      </c>
      <c r="N25" s="105">
        <f t="shared" si="4"/>
        <v>1070</v>
      </c>
      <c r="O25" s="104">
        <f t="shared" si="7"/>
        <v>0</v>
      </c>
      <c r="P25" s="104">
        <f t="shared" si="7"/>
        <v>0</v>
      </c>
      <c r="Q25" s="105">
        <f t="shared" si="5"/>
        <v>1070</v>
      </c>
      <c r="R25" s="105">
        <f t="shared" si="6"/>
        <v>59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8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8</v>
      </c>
      <c r="H27" s="109">
        <f t="shared" si="8"/>
        <v>0</v>
      </c>
      <c r="I27" s="109">
        <f t="shared" si="8"/>
        <v>0</v>
      </c>
      <c r="J27" s="110">
        <f t="shared" si="3"/>
        <v>8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>
        <v>8</v>
      </c>
      <c r="E31" s="243"/>
      <c r="F31" s="243"/>
      <c r="G31" s="113">
        <f t="shared" si="2"/>
        <v>8</v>
      </c>
      <c r="H31" s="111"/>
      <c r="I31" s="111"/>
      <c r="J31" s="113">
        <f t="shared" si="3"/>
        <v>8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8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8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8</v>
      </c>
      <c r="H38" s="114">
        <f t="shared" si="12"/>
        <v>0</v>
      </c>
      <c r="I38" s="114">
        <f t="shared" si="12"/>
        <v>0</v>
      </c>
      <c r="J38" s="113">
        <f t="shared" si="3"/>
        <v>8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8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6">
        <v>122</v>
      </c>
      <c r="E39" s="596">
        <v>4111</v>
      </c>
      <c r="F39" s="596">
        <v>3788</v>
      </c>
      <c r="G39" s="113">
        <f t="shared" si="2"/>
        <v>445</v>
      </c>
      <c r="H39" s="596"/>
      <c r="I39" s="596"/>
      <c r="J39" s="113">
        <f t="shared" si="3"/>
        <v>445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445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59783</v>
      </c>
      <c r="E40" s="547">
        <f>E17+E18+E19+E25+E38+E39</f>
        <v>28582</v>
      </c>
      <c r="F40" s="547">
        <f aca="true" t="shared" si="13" ref="F40:R40">F17+F18+F19+F25+F38+F39</f>
        <v>8004</v>
      </c>
      <c r="G40" s="547">
        <f t="shared" si="13"/>
        <v>80361</v>
      </c>
      <c r="H40" s="547">
        <f t="shared" si="13"/>
        <v>0</v>
      </c>
      <c r="I40" s="547">
        <f t="shared" si="13"/>
        <v>0</v>
      </c>
      <c r="J40" s="547">
        <f t="shared" si="13"/>
        <v>80361</v>
      </c>
      <c r="K40" s="547">
        <f t="shared" si="13"/>
        <v>26016</v>
      </c>
      <c r="L40" s="547">
        <f t="shared" si="13"/>
        <v>4553</v>
      </c>
      <c r="M40" s="547">
        <f t="shared" si="13"/>
        <v>484</v>
      </c>
      <c r="N40" s="547">
        <f t="shared" si="13"/>
        <v>30085</v>
      </c>
      <c r="O40" s="547">
        <f t="shared" si="13"/>
        <v>0</v>
      </c>
      <c r="P40" s="547">
        <f t="shared" si="13"/>
        <v>0</v>
      </c>
      <c r="Q40" s="547">
        <f t="shared" si="13"/>
        <v>30085</v>
      </c>
      <c r="R40" s="547">
        <f t="shared" si="13"/>
        <v>50276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17"/>
      <c r="L44" s="617"/>
      <c r="M44" s="617"/>
      <c r="N44" s="617"/>
      <c r="O44" s="618" t="s">
        <v>784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tabSelected="1" workbookViewId="0" topLeftCell="A1">
      <selection activeCell="C104" sqref="C104:E104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"МОНБАТ" АД</v>
      </c>
      <c r="B3" s="633"/>
      <c r="C3" s="353" t="s">
        <v>2</v>
      </c>
      <c r="E3" s="353">
        <f>'справка №1-БАЛАНС'!H3</f>
        <v>111028849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01.01-31.12.2007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>
        <v>21524</v>
      </c>
      <c r="D28" s="153">
        <v>21524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>
        <v>1785</v>
      </c>
      <c r="D29" s="153">
        <v>1785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>
        <v>649</v>
      </c>
      <c r="D31" s="153">
        <v>649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1340</v>
      </c>
      <c r="D33" s="150">
        <f>SUM(D34:D37)</f>
        <v>1340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>
        <v>1176</v>
      </c>
      <c r="D35" s="153">
        <v>1176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>
        <v>164</v>
      </c>
      <c r="D37" s="153">
        <v>164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983</v>
      </c>
      <c r="D38" s="150">
        <f>SUM(D39:D42)</f>
        <v>983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>
        <v>2</v>
      </c>
      <c r="D40" s="153">
        <v>2</v>
      </c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>
        <v>981</v>
      </c>
      <c r="D42" s="153">
        <v>981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26281</v>
      </c>
      <c r="D43" s="149">
        <f>D24+D28+D29+D31+D30+D32+D33+D38</f>
        <v>26281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26281</v>
      </c>
      <c r="D44" s="148">
        <f>D43+D21+D19+D9</f>
        <v>26281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18897</v>
      </c>
      <c r="D56" s="148">
        <f>D57+D59</f>
        <v>0</v>
      </c>
      <c r="E56" s="165">
        <f t="shared" si="1"/>
        <v>18897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>
        <v>18897</v>
      </c>
      <c r="D57" s="153"/>
      <c r="E57" s="165">
        <f t="shared" si="1"/>
        <v>18897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>
        <v>770</v>
      </c>
      <c r="D62" s="153"/>
      <c r="E62" s="165">
        <f t="shared" si="1"/>
        <v>770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19667</v>
      </c>
      <c r="D66" s="148">
        <f>D52+D56+D61+D62+D63+D64</f>
        <v>0</v>
      </c>
      <c r="E66" s="165">
        <f t="shared" si="1"/>
        <v>19667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>
        <v>1816</v>
      </c>
      <c r="D68" s="153"/>
      <c r="E68" s="165">
        <f t="shared" si="1"/>
        <v>1816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5623</v>
      </c>
      <c r="D75" s="148">
        <f>D76+D78</f>
        <v>5623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>
        <v>5623</v>
      </c>
      <c r="D76" s="153">
        <v>5623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9526</v>
      </c>
      <c r="D85" s="149">
        <f>SUM(D86:D90)+D94</f>
        <v>9526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>
        <v>6918</v>
      </c>
      <c r="D87" s="153">
        <v>6918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>
        <v>415</v>
      </c>
      <c r="D88" s="153">
        <v>415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638</v>
      </c>
      <c r="D89" s="153">
        <v>638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1300</v>
      </c>
      <c r="D90" s="148">
        <f>SUM(D91:D93)</f>
        <v>1300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>
        <v>878</v>
      </c>
      <c r="D91" s="153">
        <v>878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>
        <v>422</v>
      </c>
      <c r="D93" s="153">
        <v>422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>
        <v>255</v>
      </c>
      <c r="D94" s="153">
        <v>255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>
        <v>76</v>
      </c>
      <c r="D95" s="153">
        <v>76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15225</v>
      </c>
      <c r="D96" s="149">
        <f>D85+D80+D75+D71+D95</f>
        <v>15225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36708</v>
      </c>
      <c r="D97" s="149">
        <f>D96+D68+D66</f>
        <v>15225</v>
      </c>
      <c r="E97" s="149">
        <f>E96+E68+E66</f>
        <v>21483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>
        <v>251</v>
      </c>
      <c r="D104" s="153">
        <v>144</v>
      </c>
      <c r="E104" s="153">
        <v>96</v>
      </c>
      <c r="F104" s="172">
        <f>C104+D104-E104</f>
        <v>299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251</v>
      </c>
      <c r="D105" s="148">
        <f>SUM(D102:D104)</f>
        <v>144</v>
      </c>
      <c r="E105" s="148">
        <f>SUM(E102:E104)</f>
        <v>96</v>
      </c>
      <c r="F105" s="148">
        <f>SUM(F102:F104)</f>
        <v>299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2" right="0.2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7" sqref="A17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"МОНБАТ" АД</v>
      </c>
      <c r="D4" s="628"/>
      <c r="E4" s="628"/>
      <c r="F4" s="578"/>
      <c r="G4" s="580" t="s">
        <v>2</v>
      </c>
      <c r="H4" s="580"/>
      <c r="I4" s="589">
        <f>'справка №1-БАЛАНС'!H3</f>
        <v>111028849</v>
      </c>
    </row>
    <row r="5" spans="1:9" ht="15">
      <c r="A5" s="522" t="s">
        <v>5</v>
      </c>
      <c r="B5" s="579"/>
      <c r="C5" s="606" t="str">
        <f>'справка №1-БАЛАНС'!E5</f>
        <v>01.01-31.12.2007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51" right="0.24" top="0.5511811023622047" bottom="0.23" header="0.5118110236220472" footer="0.37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A63" sqref="A63:D63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"МОНБАТ" АД</v>
      </c>
      <c r="C5" s="627"/>
      <c r="D5" s="587"/>
      <c r="E5" s="353" t="s">
        <v>2</v>
      </c>
      <c r="F5" s="590">
        <f>'справка №1-БАЛАНС'!H3</f>
        <v>111028849</v>
      </c>
    </row>
    <row r="6" spans="1:13" ht="15" customHeight="1">
      <c r="A6" s="54" t="s">
        <v>825</v>
      </c>
      <c r="B6" s="606" t="str">
        <f>'справка №1-БАЛАНС'!E5</f>
        <v>01.01-31.12.2007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 t="s">
        <v>544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869</v>
      </c>
      <c r="B63" s="70"/>
      <c r="C63" s="550">
        <v>8</v>
      </c>
      <c r="D63" s="550">
        <v>17</v>
      </c>
      <c r="E63" s="550"/>
      <c r="F63" s="552">
        <f>C63-E63</f>
        <v>8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8</v>
      </c>
      <c r="D78" s="536"/>
      <c r="E78" s="536">
        <f>SUM(E63:E77)</f>
        <v>0</v>
      </c>
      <c r="F78" s="551">
        <f>SUM(F63:F77)</f>
        <v>8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8</v>
      </c>
      <c r="D79" s="536"/>
      <c r="E79" s="536">
        <f>E78+E61+E44+E27</f>
        <v>0</v>
      </c>
      <c r="F79" s="551">
        <f>F78+F61+F44+F27</f>
        <v>8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544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2008-04-18T12:43:28Z</cp:lastPrinted>
  <dcterms:created xsi:type="dcterms:W3CDTF">2000-06-29T12:02:40Z</dcterms:created>
  <dcterms:modified xsi:type="dcterms:W3CDTF">2008-04-18T14:50:17Z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