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№1-БАЛАНС'!$A$1:$I$100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<sst xmlns="http://schemas.openxmlformats.org/spreadsheetml/2006/main" count="1062" uniqueCount="872">
  <si>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</si>
  <si>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</si>
  <si>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</si>
  <si>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</si>
  <si>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</si>
  <si>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</si>
  <si>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</si>
  <si>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</si>
  <si>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</si>
  <si>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</si>
  <si>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</si>
  <si>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</si>
  <si>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</si>
  <si>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</si>
  <si>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</si>
  <si>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</si>
  <si>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</si>
  <si>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</si>
  <si>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</si>
  <si>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</si>
  <si>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</si>
  <si>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</si>
  <si>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</si>
  <si>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</si>
  <si>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</si>
  <si>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</si>
  <si>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</si>
  <si>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</si>
  <si>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</si>
  <si>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</si>
  <si>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</si>
  <si>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</si>
  <si>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</si>
  <si>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</si>
  <si>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</si>
  <si>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</si>
  <si>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</si>
  <si>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</si>
  <si>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</si>
  <si>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</si>
  <si>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</si>
  <si>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</si>
  <si>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</si>
  <si>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</si>
  <si>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</si>
  <si>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</si>
  <si>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</si>
  <si>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</si>
  <si>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</si>
  <si>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</si>
  <si>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</si>
  <si>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</si>
  <si>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</si>
  <si>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</si>
  <si>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</si>
  <si>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</si>
  <si>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</si>
  <si>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</si>
  <si>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</si>
  <si>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</si>
  <si>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</si>
  <si>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</si>
  <si>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</si>
  <si>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</si>
  <si>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</si>
  <si>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</si>
  <si>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</si>
  <si>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</si>
  <si>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</si>
  <si>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</si>
  <si>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</si>
  <si>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</si>
  <si>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</si>
  <si>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</si>
  <si>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</si>
  <si>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</si>
  <si>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</si>
  <si>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</si>
  <si>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</si>
  <si>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</si>
  <si>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</si>
  <si>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</si>
  <si>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</si>
  <si>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</si>
  <si>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</si>
  <si>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</si>
  <si>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</si>
  <si>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</si>
  <si>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</si>
  <si>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</si>
  <si>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</si>
  <si>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</si>
  <si>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</si>
  <si>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</si>
  <si>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</si>
  <si>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</si>
  <si>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</si>
  <si>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</si>
  <si>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</si>
  <si>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</si>
  <si>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</si>
  <si>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</si>
  <si>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</si>
  <si>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</si>
  <si>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</si>
  <si>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</si>
  <si>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</si>
  <si>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</si>
  <si>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</si>
  <si>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</si>
  <si>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</si>
  <si>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</si>
  <si>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</si>
  <si>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</si>
  <si>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</si>
  <si>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</si>
  <si>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</si>
  <si>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</si>
  <si>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</si>
  <si>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</si>
  <si>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</si>
  <si>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</si>
  <si>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</si>
  <si>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</si>
  <si>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</si>
  <si>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</si>
  <si>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</si>
  <si>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</si>
  <si>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</si>
  <si>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</si>
  <si>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</si>
  <si>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</si>
  <si>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</si>
  <si>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</si>
  <si>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</si>
  <si>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</si>
  <si>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</si>
  <si>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</si>
  <si>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</si>
  <si>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</si>
  <si>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</si>
  <si>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</si>
  <si>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</si>
  <si>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</si>
  <si>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</si>
  <si>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</si>
  <si>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</si>
  <si>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</si>
  <si>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</si>
  <si>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</si>
  <si>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</si>
  <si>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</si>
  <si>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</si>
  <si>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</si>
  <si>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</si>
  <si>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</si>
  <si>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</si>
  <si>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</si>
  <si>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</si>
  <si>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</si>
  <si>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</si>
  <si>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</si>
  <si>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</si>
  <si>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</si>
  <si>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</si>
  <si>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</si>
  <si>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</si>
  <si>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</si>
  <si>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</si>
  <si>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</si>
  <si>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</si>
  <si>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</si>
  <si>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</si>
  <si>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</si>
  <si>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</si>
  <si>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</si>
  <si>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</si>
  <si>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</si>
  <si>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</si>
  <si>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</si>
  <si>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</si>
  <si>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</si>
  <si>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</si>
  <si>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</si>
  <si>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</si>
  <si>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</si>
  <si>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</si>
  <si>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</si>
  <si>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</si>
  <si>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</si>
  <si>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</si>
  <si>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</si>
  <si>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</si>
  <si>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</si>
  <si>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</si>
  <si>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</si>
  <si>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</si>
  <si>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</si>
  <si>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</si>
  <si>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</si>
  <si>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</si>
  <si>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</si>
  <si>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</si>
  <si>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</si>
  <si>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</si>
  <si>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</si>
  <si>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</si>
  <si>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</si>
  <si>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</si>
  <si>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</si>
  <si>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</si>
  <si>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</si>
  <si>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</si>
  <si>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</si>
  <si>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</si>
  <si>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</si>
  <si>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</si>
  <si>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</si>
  <si>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</si>
  <si>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</si>
  <si>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</si>
  <si>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</si>
  <si>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</si>
  <si>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</si>
  <si>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</si>
  <si>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</si>
  <si>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</si>
  <si>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</si>
  <si>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</si>
  <si>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</si>
  <si>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</si>
  <si>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</si>
  <si>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</si>
  <si>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</si>
  <si>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</si>
  <si>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</si>
  <si>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</si>
  <si>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</si>
  <si>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</si>
  <si>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</si>
  <si>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</si>
  <si>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</si>
  <si>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</si>
  <si>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</si>
  <si>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</si>
  <si>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</si>
  <si>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</si>
  <si>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</si>
  <si>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</si>
  <si>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</si>
  <si>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</si>
  <si>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</si>
  <si>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</si>
  <si>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</si>
  <si>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</si>
  <si>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</si>
  <si>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</si>
  <si>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</si>
  <si>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</si>
  <si>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</si>
  <si>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</si>
  <si>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</si>
  <si>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</si>
  <si>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</si>
  <si>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</si>
  <si>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</si>
  <si>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</si>
  <si>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</si>
  <si>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</si>
  <si>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</si>
  <si>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</si>
  <si>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</si>
  <si>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</si>
  <si>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</si>
  <si>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</si>
  <si>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</si>
  <si>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</si>
  <si>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</si>
  <si>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</si>
  <si>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</si>
  <si>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</si>
  <si>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</si>
  <si>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</si>
  <si>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</si>
  <si>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</si>
  <si>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</si>
  <si>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</si>
  <si>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</si>
  <si>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</si>
  <si>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</si>
  <si>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</si>
  <si>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</si>
  <si>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</si>
  <si>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</si>
  <si>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</si>
  <si>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</si>
  <si>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</si>
  <si>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</si>
  <si>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</si>
  <si>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</si>
  <si>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</si>
  <si>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</si>
  <si>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</si>
  <si>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</si>
  <si>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</si>
  <si>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</si>
  <si>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</si>
  <si>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</si>
  <si>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</si>
  <si>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</si>
  <si>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</si>
  <si>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</si>
  <si>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</si>
  <si>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</si>
  <si>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</si>
  <si>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</si>
  <si>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</si>
  <si>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</si>
  <si>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</si>
  <si>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</si>
  <si>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</si>
  <si>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</si>
  <si>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</si>
  <si>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</si>
  <si>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</si>
  <si>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</si>
  <si>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</si>
  <si>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</si>
  <si>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</si>
  <si>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</si>
  <si>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</si>
  <si>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</si>
  <si>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</si>
  <si>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</si>
  <si>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</si>
  <si>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</si>
  <si>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</si>
  <si>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</si>
  <si>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</si>
  <si>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</si>
  <si>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</si>
  <si>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</si>
  <si>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</si>
  <si>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</si>
  <si>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</si>
  <si>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</si>
  <si>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</si>
  <si>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</si>
  <si>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</si>
  <si>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</si>
  <si>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</si>
  <si>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</si>
  <si>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</si>
  <si>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</si>
  <si>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</si>
  <si>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</si>
  <si>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</si>
  <si>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</si>
  <si>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</si>
  <si>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</si>
  <si>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</si>
  <si>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</si>
  <si>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</si>
  <si>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</si>
  <si>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</si>
  <si>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</si>
  <si>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</si>
  <si>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</si>
  <si>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</si>
  <si>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</si>
  <si>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</si>
  <si>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</si>
  <si>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</si>
  <si>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</si>
  <si>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</si>
  <si>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</si>
  <si>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</si>
  <si>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</si>
  <si>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</si>
  <si>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</si>
  <si>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</si>
  <si>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</si>
  <si>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</si>
  <si>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</si>
  <si>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</si>
  <si>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</si>
  <si>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</si>
  <si>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</si>
  <si>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</si>
  <si>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</si>
  <si>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</si>
  <si>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</si>
  <si>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</si>
  <si>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</si>
  <si>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</si>
  <si>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</si>
  <si>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</si>
  <si>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</si>
  <si>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</si>
  <si>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</si>
  <si>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</si>
  <si>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</si>
  <si>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</si>
  <si>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</si>
  <si>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</si>
  <si>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</si>
  <si>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</si>
  <si>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</si>
  <si>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</si>
  <si>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</si>
  <si>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</si>
  <si>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</si>
  <si>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</si>
  <si>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</si>
  <si>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</si>
  <si>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</si>
  <si>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</si>
  <si>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</si>
  <si>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</si>
  <si>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</si>
  <si>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</si>
  <si>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</si>
  <si>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</si>
  <si>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</si>
  <si>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</si>
  <si>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</si>
  <si>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</si>
  <si>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</si>
  <si>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</si>
  <si>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</si>
  <si>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</si>
  <si>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</si>
  <si>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</si>
  <si>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</si>
  <si>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</si>
  <si>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</si>
  <si>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</si>
  <si>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</si>
  <si>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</si>
  <si>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</si>
  <si>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</si>
  <si>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</si>
  <si>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</si>
  <si>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</si>
  <si>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</si>
  <si>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</si>
  <si>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</si>
  <si>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</si>
  <si>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</si>
  <si>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</si>
  <si>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</si>
  <si>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</si>
  <si>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</si>
  <si>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</si>
  <si>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</si>
  <si>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</si>
  <si>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</si>
  <si>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</si>
  <si>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</si>
  <si>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</si>
  <si>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</si>
  <si>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</si>
  <si>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</si>
  <si>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</si>
  <si>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</si>
  <si>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</si>
  <si>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</si>
  <si>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</si>
  <si>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</si>
  <si>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</si>
  <si>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</si>
  <si>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</si>
  <si>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</si>
  <si>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</si>
  <si>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</si>
  <si>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</si>
  <si>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</si>
  <si>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</si>
  <si>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</si>
  <si>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</si>
  <si>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</si>
  <si>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</si>
  <si>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</si>
  <si>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</si>
  <si>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</si>
  <si>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</si>
  <si>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</si>
  <si>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</si>
  <si>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</si>
  <si>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</si>
  <si>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</si>
  <si>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</si>
  <si>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</si>
  <si>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</si>
  <si>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</si>
  <si>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</si>
  <si>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</si>
  <si>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</si>
  <si>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</si>
  <si>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</si>
  <si>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</si>
  <si>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</si>
  <si>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</si>
  <si>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</si>
  <si>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</si>
  <si>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</si>
  <si>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</si>
  <si>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</si>
  <si>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</si>
  <si>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</si>
  <si>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</si>
  <si>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</si>
  <si>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</si>
  <si>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</si>
  <si>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</si>
  <si>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</si>
  <si>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</si>
  <si>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</si>
  <si>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</si>
  <si>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</si>
  <si>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</si>
  <si>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</si>
  <si>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</si>
  <si>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</si>
  <si>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</si>
  <si>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</si>
  <si>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</si>
  <si>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</si>
  <si>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</si>
  <si>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</si>
  <si>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</si>
  <si>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</si>
  <si>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</si>
  <si>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</si>
  <si>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</si>
  <si>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</si>
  <si>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</si>
  <si>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</si>
  <si>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</si>
  <si>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</si>
  <si>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</si>
  <si>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</si>
  <si>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</si>
  <si>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</si>
  <si>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</si>
  <si>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</si>
  <si>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</si>
  <si>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</si>
  <si>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</si>
  <si>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</si>
  <si>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</si>
  <si>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</si>
  <si>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</si>
  <si>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</si>
  <si>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</si>
  <si>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</si>
  <si>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</si>
  <si>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</si>
  <si>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</si>
  <si>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</si>
  <si>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</si>
  <si>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</si>
  <si>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</si>
  <si>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</si>
  <si>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</si>
  <si>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</si>
  <si>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</si>
  <si>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</si>
  <si>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</si>
  <si>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</si>
  <si>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</si>
  <si>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</si>
  <si>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</si>
  <si>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</si>
  <si>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</si>
  <si>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</si>
  <si>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</si>
  <si>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</si>
  <si>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</si>
  <si>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</si>
  <si>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</si>
  <si>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</si>
  <si>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</si>
  <si>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</si>
  <si>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</si>
  <si>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</si>
  <si>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</si>
  <si>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</si>
  <si>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</si>
  <si>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</si>
  <si>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</si>
  <si>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</si>
  <si>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</si>
  <si>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</si>
  <si>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</si>
  <si>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</si>
  <si>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</si>
  <si>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</si>
  <si>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</si>
  <si>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</si>
  <si>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</si>
  <si>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</si>
  <si>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</si>
  <si>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</si>
  <si>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</si>
  <si>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</si>
  <si>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</si>
  <si>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</si>
  <si>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</si>
  <si>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</si>
  <si>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</si>
  <si>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</si>
  <si>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</si>
  <si>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</si>
  <si>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</si>
  <si>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</si>
  <si>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</si>
  <si>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</si>
  <si>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</si>
  <si>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</si>
  <si>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</si>
  <si>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</si>
  <si>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</si>
  <si>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</si>
  <si>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</si>
  <si>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</si>
  <si>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</si>
  <si>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</si>
  <si>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</si>
  <si>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</si>
  <si>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</si>
  <si>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</si>
  <si>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</si>
  <si>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</si>
  <si>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</si>
  <si>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</si>
  <si>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</si>
  <si>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</si>
  <si>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</si>
  <si>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</si>
  <si>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</si>
  <si>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</si>
  <si>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</si>
  <si>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</si>
  <si>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</si>
  <si>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</si>
  <si>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</si>
  <si>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</si>
  <si>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</si>
  <si>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</si>
  <si>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</si>
  <si>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</si>
  <si>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</si>
  <si>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</si>
  <si>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</si>
  <si>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</si>
  <si>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</si>
  <si>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</si>
  <si>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</si>
  <si>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</si>
  <si>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</si>
  <si>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</si>
  <si>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</si>
  <si>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</si>
  <si>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</si>
  <si>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</si>
  <si>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</si>
  <si>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</si>
  <si>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</si>
  <si>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</si>
  <si>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</si>
  <si>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</si>
  <si>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</si>
  <si>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</si>
  <si>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</si>
  <si>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</si>
  <si>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</si>
  <si>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</si>
  <si>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</si>
  <si>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</si>
  <si>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</si>
  <si>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</si>
  <si>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</si>
  <si>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</si>
  <si>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</si>
  <si>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</si>
  <si>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</si>
  <si>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</si>
  <si>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</si>
  <si>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</si>
  <si>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</si>
  <si>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</si>
  <si>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</si>
  <si>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</si>
  <si>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</si>
  <si>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</si>
  <si>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</si>
  <si>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</si>
  <si>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</si>
  <si>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</si>
  <si>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</si>
  <si>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</si>
  <si>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</si>
  <si>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</si>
  <si>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</si>
  <si>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</si>
  <si>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</si>
  <si>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</si>
  <si>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</si>
  <si>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</si>
  <si>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</si>
  <si>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</si>
  <si>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</si>
  <si>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</si>
  <si>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</si>
  <si>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</si>
  <si>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</si>
  <si>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</si>
  <si>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</si>
  <si>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</si>
  <si>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</si>
  <si>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</si>
  <si>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</si>
  <si>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</si>
  <si>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</si>
  <si>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</si>
  <si>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</si>
  <si>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</si>
  <si>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</si>
  <si>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</si>
  <si>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</si>
  <si>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</si>
  <si>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</si>
  <si>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</si>
  <si>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</si>
  <si>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</si>
  <si>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</si>
  <si>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</si>
  <si>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</si>
  <si>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</si>
  <si>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</si>
  <si>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</si>
  <si>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</si>
  <si>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</si>
  <si>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</si>
  <si>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</si>
  <si>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</si>
  <si>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</si>
  <si>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</si>
  <si>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</si>
  <si>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</si>
  <si>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</si>
  <si>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</si>
  <si>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</si>
  <si>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</si>
  <si>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</si>
  <si>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</si>
  <si>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</si>
  <si>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</si>
  <si>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</si>
  <si>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</si>
  <si>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</si>
  <si>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</si>
  <si>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</si>
  <si>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</si>
  <si>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</si>
  <si>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</si>
  <si>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</si>
  <si>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</si>
  <si>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</si>
  <si>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</si>
  <si>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</si>
  <si>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</si>
  <si>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</si>
  <si>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</si>
  <si>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</si>
  <si>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</si>
  <si>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</si>
  <si>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</si>
  <si>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</si>
  <si>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</si>
  <si>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</si>
  <si>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</si>
  <si>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</si>
  <si>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</si>
  <si>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</si>
  <si>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</si>
  <si>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</si>
  <si>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</si>
  <si>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</si>
  <si>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</si>
  <si>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</si>
  <si>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</si>
  <si>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</si>
  <si>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</si>
  <si>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</si>
  <si>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</si>
  <si>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</si>
  <si>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</si>
  <si>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</si>
  <si>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</si>
  <si>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</si>
  <si>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</si>
  <si>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</si>
  <si>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</si>
  <si>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</si>
  <si>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</si>
  <si>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</si>
  <si>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</si>
  <si>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</si>
  <si>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</si>
  <si>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</si>
  <si>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</si>
  <si>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</si>
  <si>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</si>
  <si>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</si>
  <si>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</si>
  <si>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</si>
  <si>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</si>
  <si>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</si>
  <si>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</si>
  <si>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</si>
  <si>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</si>
  <si>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</si>
  <si>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</si>
  <si>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</si>
  <si>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</si>
  <si>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</si>
  <si>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</si>
  <si>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</si>
  <si>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</si>
  <si>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</si>
  <si>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</si>
  <si>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</si>
  <si>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</si>
  <si>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</si>
  <si>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</si>
  <si>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</si>
  <si>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</si>
  <si>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</si>
  <si>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</si>
  <si>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</si>
  <si>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</si>
  <si>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</si>
  <si>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</si>
  <si>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</si>
  <si>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</si>
  <si>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</si>
  <si>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</si>
  <si>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</si>
  <si>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</si>
  <si>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</si>
  <si>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</si>
  <si>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</si>
  <si>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</si>
  <si>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</si>
  <si>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</si>
  <si>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</si>
  <si>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</si>
  <si>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</si>
  <si>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</si>
  <si>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</si>
  <si>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</si>
  <si>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"Торготерм"АД</t>
  </si>
  <si>
    <t>неконсолидиран</t>
  </si>
  <si>
    <t>Дата на съставяне: 15.10.2010 г.</t>
  </si>
  <si>
    <t>15.10.2010 г.</t>
  </si>
  <si>
    <t>01.01.2009-30.09.2010</t>
  </si>
  <si>
    <t xml:space="preserve">Дата на съставяне:15.10.2010 г.                                       </t>
  </si>
  <si>
    <t xml:space="preserve">Дата  на съставяне: 15.10.2010  г.                                                                                                                          </t>
  </si>
  <si>
    <t xml:space="preserve">Дата на съставяне:15.10.2010 г.             </t>
  </si>
  <si>
    <t>Дата на съставяне:15.10.2010 г.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</si>
</sst>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58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32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84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77" fontId="22" fillId="35" borderId="10" xfId="64" applyNumberFormat="1" applyFont="1" applyFill="1" applyBorder="1" applyAlignment="1" applyProtection="1">
      <alignment wrapText="1"/>
      <protection locked="0"/>
    </xf>
    <xf numFmtId="1" fontId="9" fillId="0" borderId="0" xfId="63" applyNumberFormat="1" applyFont="1" applyAlignment="1" applyProtection="1">
      <alignment vertical="top" wrapText="1"/>
      <protection locked="0"/>
    </xf>
    <xf numFmtId="1" fontId="9" fillId="0" borderId="0" xfId="63" applyNumberFormat="1" applyFont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83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84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84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84" fontId="10" fillId="0" borderId="0" xfId="61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84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84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PageLayoutView="0" workbookViewId="0" topLeftCell="A1">
      <selection activeCell="E6" sqref="E6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8" t="s">
        <v>1</v>
      </c>
      <c r="B3" s="579"/>
      <c r="C3" s="579"/>
      <c r="D3" s="579"/>
      <c r="E3" s="462" t="s">
        <v>863</v>
      </c>
      <c r="F3" s="217" t="s">
        <v>2</v>
      </c>
      <c r="G3" s="172"/>
      <c r="H3" s="461">
        <v>819363984</v>
      </c>
    </row>
    <row r="4" spans="1:8" ht="15">
      <c r="A4" s="578" t="s">
        <v>3</v>
      </c>
      <c r="B4" s="584"/>
      <c r="C4" s="584"/>
      <c r="D4" s="584"/>
      <c r="E4" s="504" t="s">
        <v>864</v>
      </c>
      <c r="F4" s="580" t="s">
        <v>4</v>
      </c>
      <c r="G4" s="581"/>
      <c r="H4" s="461" t="s">
        <v>159</v>
      </c>
    </row>
    <row r="5" spans="1:8" ht="15">
      <c r="A5" s="578" t="s">
        <v>5</v>
      </c>
      <c r="B5" s="579"/>
      <c r="C5" s="579"/>
      <c r="D5" s="579"/>
      <c r="E5" s="505" t="s">
        <v>867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330</v>
      </c>
      <c r="D11" s="151">
        <v>330</v>
      </c>
      <c r="E11" s="237" t="s">
        <v>22</v>
      </c>
      <c r="F11" s="242" t="s">
        <v>23</v>
      </c>
      <c r="G11" s="152">
        <v>3000</v>
      </c>
      <c r="H11" s="152">
        <v>3000</v>
      </c>
    </row>
    <row r="12" spans="1:8" ht="15">
      <c r="A12" s="235" t="s">
        <v>24</v>
      </c>
      <c r="B12" s="241" t="s">
        <v>25</v>
      </c>
      <c r="C12" s="151">
        <v>1409</v>
      </c>
      <c r="D12" s="151">
        <v>1483</v>
      </c>
      <c r="E12" s="237" t="s">
        <v>26</v>
      </c>
      <c r="F12" s="242" t="s">
        <v>27</v>
      </c>
      <c r="G12" s="153">
        <v>3000</v>
      </c>
      <c r="H12" s="153">
        <v>3000</v>
      </c>
    </row>
    <row r="13" spans="1:8" ht="15">
      <c r="A13" s="235" t="s">
        <v>28</v>
      </c>
      <c r="B13" s="241" t="s">
        <v>29</v>
      </c>
      <c r="C13" s="151">
        <v>894</v>
      </c>
      <c r="D13" s="151">
        <v>1277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136</v>
      </c>
      <c r="D14" s="151">
        <v>150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39</v>
      </c>
      <c r="D15" s="151">
        <v>91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f>107+26</f>
        <v>133</v>
      </c>
      <c r="D16" s="151">
        <v>162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41</v>
      </c>
      <c r="D17" s="151">
        <v>11</v>
      </c>
      <c r="E17" s="243" t="s">
        <v>46</v>
      </c>
      <c r="F17" s="245" t="s">
        <v>47</v>
      </c>
      <c r="G17" s="154">
        <f>G11+G14+G15+G16</f>
        <v>3000</v>
      </c>
      <c r="H17" s="154">
        <f>H11+H14+H15+H16</f>
        <v>3000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2982</v>
      </c>
      <c r="D19" s="155">
        <f>SUM(D11:D18)</f>
        <v>3504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1348</v>
      </c>
      <c r="H20" s="158">
        <v>1351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300</v>
      </c>
      <c r="H21" s="156">
        <f>SUM(H22:H24)</f>
        <v>300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300</v>
      </c>
      <c r="H22" s="152">
        <v>300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30</v>
      </c>
      <c r="D24" s="151">
        <v>45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1648</v>
      </c>
      <c r="H25" s="154">
        <f>H19+H20+H21</f>
        <v>1651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30</v>
      </c>
      <c r="D27" s="155">
        <f>SUM(D23:D26)</f>
        <v>45</v>
      </c>
      <c r="E27" s="253" t="s">
        <v>83</v>
      </c>
      <c r="F27" s="242" t="s">
        <v>84</v>
      </c>
      <c r="G27" s="154">
        <f>SUM(G28:G30)</f>
        <v>233</v>
      </c>
      <c r="H27" s="154">
        <f>SUM(H28:H30)</f>
        <v>671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674</v>
      </c>
      <c r="H28" s="152">
        <v>671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-441</v>
      </c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281</v>
      </c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>
        <v>-236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514</v>
      </c>
      <c r="H33" s="154">
        <f>H27+H31+H32</f>
        <v>435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5162</v>
      </c>
      <c r="H36" s="154">
        <f>H25+H17+H33</f>
        <v>5086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f>1170-200</f>
        <v>970</v>
      </c>
      <c r="H44" s="152">
        <v>572</v>
      </c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248</v>
      </c>
      <c r="H48" s="152">
        <v>402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1218</v>
      </c>
      <c r="H49" s="154">
        <f>SUM(H43:H48)</f>
        <v>974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29</v>
      </c>
      <c r="H53" s="152">
        <v>32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>
        <v>231</v>
      </c>
      <c r="H54" s="152">
        <v>39</v>
      </c>
    </row>
    <row r="55" spans="1:18" ht="25.5">
      <c r="A55" s="269" t="s">
        <v>170</v>
      </c>
      <c r="B55" s="270" t="s">
        <v>171</v>
      </c>
      <c r="C55" s="155">
        <f>C19+C20+C21+C27+C32+C45+C51+C53+C54</f>
        <v>3012</v>
      </c>
      <c r="D55" s="155">
        <f>D19+D20+D21+D27+D32+D45+D51+D53+D54</f>
        <v>3549</v>
      </c>
      <c r="E55" s="237" t="s">
        <v>172</v>
      </c>
      <c r="F55" s="261" t="s">
        <v>173</v>
      </c>
      <c r="G55" s="154">
        <f>G49+G51+G52+G53+G54</f>
        <v>1478</v>
      </c>
      <c r="H55" s="154">
        <f>H49+H51+H52+H53+H54</f>
        <v>1045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974</v>
      </c>
      <c r="D58" s="151">
        <f>1198-453</f>
        <v>745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452</v>
      </c>
      <c r="D59" s="151">
        <v>526</v>
      </c>
      <c r="E59" s="251" t="s">
        <v>181</v>
      </c>
      <c r="F59" s="242" t="s">
        <v>182</v>
      </c>
      <c r="G59" s="152">
        <f>606-117</f>
        <v>489</v>
      </c>
      <c r="H59" s="152">
        <v>411</v>
      </c>
      <c r="M59" s="157"/>
    </row>
    <row r="60" spans="1:8" ht="15">
      <c r="A60" s="235" t="s">
        <v>183</v>
      </c>
      <c r="B60" s="241" t="s">
        <v>184</v>
      </c>
      <c r="C60" s="151">
        <v>725</v>
      </c>
      <c r="D60" s="151">
        <v>384</v>
      </c>
      <c r="E60" s="237" t="s">
        <v>185</v>
      </c>
      <c r="F60" s="242" t="s">
        <v>186</v>
      </c>
      <c r="G60" s="152">
        <v>200</v>
      </c>
      <c r="H60" s="152">
        <v>212</v>
      </c>
    </row>
    <row r="61" spans="1:18" ht="15">
      <c r="A61" s="235" t="s">
        <v>187</v>
      </c>
      <c r="B61" s="244" t="s">
        <v>188</v>
      </c>
      <c r="C61" s="151">
        <v>555</v>
      </c>
      <c r="D61" s="151">
        <f>68+453</f>
        <v>521</v>
      </c>
      <c r="E61" s="243" t="s">
        <v>189</v>
      </c>
      <c r="F61" s="272" t="s">
        <v>190</v>
      </c>
      <c r="G61" s="154">
        <f>SUM(G62:G68)</f>
        <v>2558</v>
      </c>
      <c r="H61" s="154">
        <f>SUM(H62:H68)</f>
        <v>1332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>
        <v>20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v>117</v>
      </c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2706</v>
      </c>
      <c r="D64" s="155">
        <f>SUM(D58:D63)</f>
        <v>2176</v>
      </c>
      <c r="E64" s="237" t="s">
        <v>200</v>
      </c>
      <c r="F64" s="242" t="s">
        <v>201</v>
      </c>
      <c r="G64" s="152">
        <v>2201</v>
      </c>
      <c r="H64" s="152">
        <f>1015-33</f>
        <v>982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28</v>
      </c>
      <c r="H65" s="152">
        <v>33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167</v>
      </c>
      <c r="H66" s="152">
        <v>227</v>
      </c>
    </row>
    <row r="67" spans="1:8" ht="15">
      <c r="A67" s="235" t="s">
        <v>207</v>
      </c>
      <c r="B67" s="241" t="s">
        <v>208</v>
      </c>
      <c r="C67" s="151">
        <v>752</v>
      </c>
      <c r="D67" s="151">
        <v>118</v>
      </c>
      <c r="E67" s="237" t="s">
        <v>209</v>
      </c>
      <c r="F67" s="242" t="s">
        <v>210</v>
      </c>
      <c r="G67" s="152">
        <v>37</v>
      </c>
      <c r="H67" s="152">
        <v>54</v>
      </c>
    </row>
    <row r="68" spans="1:8" ht="15">
      <c r="A68" s="235" t="s">
        <v>211</v>
      </c>
      <c r="B68" s="241" t="s">
        <v>212</v>
      </c>
      <c r="C68" s="151">
        <v>2536</v>
      </c>
      <c r="D68" s="151">
        <f>2060-157-10</f>
        <v>1893</v>
      </c>
      <c r="E68" s="237" t="s">
        <v>213</v>
      </c>
      <c r="F68" s="242" t="s">
        <v>214</v>
      </c>
      <c r="G68" s="152">
        <v>8</v>
      </c>
      <c r="H68" s="152">
        <v>16</v>
      </c>
    </row>
    <row r="69" spans="1:8" ht="15">
      <c r="A69" s="235" t="s">
        <v>215</v>
      </c>
      <c r="B69" s="241" t="s">
        <v>216</v>
      </c>
      <c r="C69" s="151">
        <v>797</v>
      </c>
      <c r="D69" s="151">
        <v>157</v>
      </c>
      <c r="E69" s="251" t="s">
        <v>78</v>
      </c>
      <c r="F69" s="242" t="s">
        <v>217</v>
      </c>
      <c r="G69" s="152">
        <v>53</v>
      </c>
      <c r="H69" s="152">
        <f>16+19</f>
        <v>35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7</v>
      </c>
      <c r="D71" s="151">
        <v>12</v>
      </c>
      <c r="E71" s="253" t="s">
        <v>46</v>
      </c>
      <c r="F71" s="273" t="s">
        <v>224</v>
      </c>
      <c r="G71" s="161">
        <f>G59+G60+G61+G69+G70</f>
        <v>3300</v>
      </c>
      <c r="H71" s="161">
        <f>H59+H60+H61+H69+H70</f>
        <v>1990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94</v>
      </c>
      <c r="D72" s="151">
        <v>150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>
        <f>141-118</f>
        <v>23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4186</v>
      </c>
      <c r="D75" s="155">
        <f>SUM(D67:D74)</f>
        <v>2353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3300</v>
      </c>
      <c r="H79" s="162">
        <f>H71+H74+H75+H76</f>
        <v>1990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4</v>
      </c>
      <c r="D87" s="151">
        <v>20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21</v>
      </c>
      <c r="D88" s="151">
        <v>11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25</v>
      </c>
      <c r="D91" s="155">
        <f>SUM(D87:D90)</f>
        <v>31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11</v>
      </c>
      <c r="D92" s="151">
        <v>12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6928</v>
      </c>
      <c r="D93" s="155">
        <f>D64+D75+D84+D91+D92</f>
        <v>4572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9940</v>
      </c>
      <c r="D94" s="164">
        <f>D93+D55</f>
        <v>8121</v>
      </c>
      <c r="E94" s="449" t="s">
        <v>270</v>
      </c>
      <c r="F94" s="289" t="s">
        <v>271</v>
      </c>
      <c r="G94" s="165">
        <f>G36+G39+G55+G79</f>
        <v>9940</v>
      </c>
      <c r="H94" s="165">
        <f>H36+H39+H55+H79</f>
        <v>8121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576"/>
      <c r="H96" s="576"/>
      <c r="M96" s="157"/>
    </row>
    <row r="97" spans="1:13" ht="15">
      <c r="A97" s="431"/>
      <c r="B97" s="432"/>
      <c r="C97" s="150"/>
      <c r="D97" s="150"/>
      <c r="E97" s="433"/>
      <c r="F97" s="577"/>
      <c r="G97" s="576"/>
      <c r="H97" s="172"/>
      <c r="M97" s="157"/>
    </row>
    <row r="98" spans="1:13" ht="15">
      <c r="A98" s="45" t="s">
        <v>865</v>
      </c>
      <c r="B98" s="432"/>
      <c r="C98" s="582" t="s">
        <v>381</v>
      </c>
      <c r="D98" s="582"/>
      <c r="E98" s="582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2" t="s">
        <v>781</v>
      </c>
      <c r="D100" s="583"/>
      <c r="E100" s="583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landscape" paperSize="9" scale="68" r:id="rId1"/>
  <headerFooter alignWithMargins="0">
    <oddHeader>&amp;R&amp;"Times New Roman Cyr,Regular"&amp;9СПРАВКА ПО ОБРАЗЕЦ  № 1</oddHeader>
  </headerFooter>
  <rowBreaks count="1" manualBreakCount="1">
    <brk id="4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22">
      <selection activeCell="B4" sqref="B4:D4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6" t="str">
        <f>'справка №1-БАЛАНС'!E3</f>
        <v> "Торготерм"АД</v>
      </c>
      <c r="C2" s="586"/>
      <c r="D2" s="586"/>
      <c r="E2" s="586"/>
      <c r="F2" s="588" t="s">
        <v>2</v>
      </c>
      <c r="G2" s="588"/>
      <c r="H2" s="526">
        <f>'справка №1-БАЛАНС'!H3</f>
        <v>819363984</v>
      </c>
    </row>
    <row r="3" spans="1:8" ht="15">
      <c r="A3" s="467" t="s">
        <v>274</v>
      </c>
      <c r="B3" s="586" t="str">
        <f>'справка №1-БАЛАНС'!E4</f>
        <v>неконсолидиран</v>
      </c>
      <c r="C3" s="586"/>
      <c r="D3" s="586"/>
      <c r="E3" s="586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7" t="str">
        <f>'справка №1-БАЛАНС'!E5</f>
        <v>01.01.2009-30.09.2010</v>
      </c>
      <c r="C4" s="587"/>
      <c r="D4" s="587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3544</v>
      </c>
      <c r="D9" s="46">
        <f>2640+453</f>
        <v>3093</v>
      </c>
      <c r="E9" s="298" t="s">
        <v>284</v>
      </c>
      <c r="F9" s="549" t="s">
        <v>285</v>
      </c>
      <c r="G9" s="550">
        <v>5417</v>
      </c>
      <c r="H9" s="550">
        <v>4507</v>
      </c>
    </row>
    <row r="10" spans="1:8" ht="12">
      <c r="A10" s="298" t="s">
        <v>286</v>
      </c>
      <c r="B10" s="299" t="s">
        <v>287</v>
      </c>
      <c r="C10" s="46">
        <v>180</v>
      </c>
      <c r="D10" s="46">
        <v>327</v>
      </c>
      <c r="E10" s="298" t="s">
        <v>288</v>
      </c>
      <c r="F10" s="549" t="s">
        <v>289</v>
      </c>
      <c r="G10" s="550">
        <v>348</v>
      </c>
      <c r="H10" s="550">
        <v>613</v>
      </c>
    </row>
    <row r="11" spans="1:8" ht="12">
      <c r="A11" s="298" t="s">
        <v>290</v>
      </c>
      <c r="B11" s="299" t="s">
        <v>291</v>
      </c>
      <c r="C11" s="46">
        <v>439</v>
      </c>
      <c r="D11" s="46">
        <v>494</v>
      </c>
      <c r="E11" s="300" t="s">
        <v>292</v>
      </c>
      <c r="F11" s="549" t="s">
        <v>293</v>
      </c>
      <c r="G11" s="550">
        <v>78</v>
      </c>
      <c r="H11" s="550">
        <v>81</v>
      </c>
    </row>
    <row r="12" spans="1:8" ht="12">
      <c r="A12" s="298" t="s">
        <v>294</v>
      </c>
      <c r="B12" s="299" t="s">
        <v>295</v>
      </c>
      <c r="C12" s="46">
        <v>1264</v>
      </c>
      <c r="D12" s="46">
        <v>1155</v>
      </c>
      <c r="E12" s="300" t="s">
        <v>78</v>
      </c>
      <c r="F12" s="549" t="s">
        <v>296</v>
      </c>
      <c r="G12" s="550">
        <v>163</v>
      </c>
      <c r="H12" s="550">
        <v>143</v>
      </c>
    </row>
    <row r="13" spans="1:18" ht="12">
      <c r="A13" s="298" t="s">
        <v>297</v>
      </c>
      <c r="B13" s="299" t="s">
        <v>298</v>
      </c>
      <c r="C13" s="46">
        <v>143</v>
      </c>
      <c r="D13" s="46">
        <v>166</v>
      </c>
      <c r="E13" s="301" t="s">
        <v>51</v>
      </c>
      <c r="F13" s="551" t="s">
        <v>299</v>
      </c>
      <c r="G13" s="548">
        <f>SUM(G9:G12)</f>
        <v>6006</v>
      </c>
      <c r="H13" s="548">
        <f>SUM(H9:H12)</f>
        <v>5344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349</v>
      </c>
      <c r="D14" s="46">
        <v>516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-431</v>
      </c>
      <c r="D15" s="47">
        <f>34-36-24-453</f>
        <v>-479</v>
      </c>
      <c r="E15" s="296" t="s">
        <v>304</v>
      </c>
      <c r="F15" s="554" t="s">
        <v>305</v>
      </c>
      <c r="G15" s="550">
        <v>54</v>
      </c>
      <c r="H15" s="550">
        <v>73</v>
      </c>
    </row>
    <row r="16" spans="1:8" ht="12">
      <c r="A16" s="298" t="s">
        <v>306</v>
      </c>
      <c r="B16" s="299" t="s">
        <v>307</v>
      </c>
      <c r="C16" s="47">
        <f>530-349</f>
        <v>181</v>
      </c>
      <c r="D16" s="47">
        <v>285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5669</v>
      </c>
      <c r="D19" s="49">
        <f>SUM(D9:D15)+D16</f>
        <v>5557</v>
      </c>
      <c r="E19" s="304" t="s">
        <v>316</v>
      </c>
      <c r="F19" s="552" t="s">
        <v>317</v>
      </c>
      <c r="G19" s="550">
        <v>5</v>
      </c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80</v>
      </c>
      <c r="D22" s="46">
        <v>77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>
        <v>5</v>
      </c>
      <c r="D24" s="46">
        <v>5</v>
      </c>
      <c r="E24" s="301" t="s">
        <v>103</v>
      </c>
      <c r="F24" s="554" t="s">
        <v>333</v>
      </c>
      <c r="G24" s="548">
        <f>SUM(G19:G23)</f>
        <v>5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30</v>
      </c>
      <c r="D25" s="46">
        <v>14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115</v>
      </c>
      <c r="D26" s="49">
        <f>SUM(D22:D25)</f>
        <v>96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5784</v>
      </c>
      <c r="D28" s="50">
        <f>D26+D19</f>
        <v>5653</v>
      </c>
      <c r="E28" s="127" t="s">
        <v>338</v>
      </c>
      <c r="F28" s="554" t="s">
        <v>339</v>
      </c>
      <c r="G28" s="548">
        <f>G13+G15+G24</f>
        <v>6065</v>
      </c>
      <c r="H28" s="548">
        <f>H13+H15+H24</f>
        <v>5417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281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236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344</v>
      </c>
      <c r="C31" s="46"/>
      <c r="D31" s="46"/>
      <c r="E31" s="296" t="s">
        <v>855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5784</v>
      </c>
      <c r="D33" s="49">
        <f>D28-D31+D32</f>
        <v>5653</v>
      </c>
      <c r="E33" s="127" t="s">
        <v>352</v>
      </c>
      <c r="F33" s="554" t="s">
        <v>353</v>
      </c>
      <c r="G33" s="53">
        <f>G32-G31+G28</f>
        <v>6065</v>
      </c>
      <c r="H33" s="53">
        <f>H32-H31+H28</f>
        <v>5417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281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236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281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236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281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236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6065</v>
      </c>
      <c r="D42" s="53">
        <f>D33+D35+D39</f>
        <v>5653</v>
      </c>
      <c r="E42" s="128" t="s">
        <v>379</v>
      </c>
      <c r="F42" s="129" t="s">
        <v>380</v>
      </c>
      <c r="G42" s="53">
        <f>G39+G33</f>
        <v>6065</v>
      </c>
      <c r="H42" s="53">
        <f>H39+H33</f>
        <v>5653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9" t="s">
        <v>861</v>
      </c>
      <c r="B45" s="589"/>
      <c r="C45" s="589"/>
      <c r="D45" s="589"/>
      <c r="E45" s="589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866</v>
      </c>
      <c r="C48" s="427" t="s">
        <v>381</v>
      </c>
      <c r="D48" s="585"/>
      <c r="E48" s="585"/>
      <c r="F48" s="585"/>
      <c r="G48" s="585"/>
      <c r="H48" s="585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85"/>
      <c r="E50" s="585"/>
      <c r="F50" s="585"/>
      <c r="G50" s="585"/>
      <c r="H50" s="585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" top="0.43" bottom="0.24" header="0.27" footer="0.18"/>
  <pageSetup horizontalDpi="600" verticalDpi="600" orientation="landscape" paperSize="9" scale="8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9">
      <selection activeCell="D47" sqref="D47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 "Торготерм"АД</v>
      </c>
      <c r="C4" s="541" t="s">
        <v>2</v>
      </c>
      <c r="D4" s="541">
        <f>'справка №1-БАЛАНС'!H3</f>
        <v>819363984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01.01.2009-30.09.2010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5299</v>
      </c>
      <c r="D10" s="54">
        <v>5747</v>
      </c>
      <c r="E10" s="130"/>
      <c r="F10" s="130"/>
    </row>
    <row r="11" spans="1:13" ht="12.75">
      <c r="A11" s="332" t="s">
        <v>388</v>
      </c>
      <c r="B11" s="333" t="s">
        <v>389</v>
      </c>
      <c r="C11" s="575">
        <f>-5780+782+116+528</f>
        <v>-4354</v>
      </c>
      <c r="D11" s="575">
        <f>-4813+162</f>
        <v>-4651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75">
        <f>-764-528</f>
        <v>-1292</v>
      </c>
      <c r="D13" s="575">
        <v>-1045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75">
        <v>358</v>
      </c>
      <c r="D14" s="575">
        <v>217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.75">
      <c r="A15" s="334" t="s">
        <v>396</v>
      </c>
      <c r="B15" s="333" t="s">
        <v>397</v>
      </c>
      <c r="C15" s="575">
        <v>74</v>
      </c>
      <c r="D15" s="575">
        <v>-3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.75">
      <c r="A16" s="332" t="s">
        <v>398</v>
      </c>
      <c r="B16" s="333" t="s">
        <v>399</v>
      </c>
      <c r="C16" s="575">
        <v>5</v>
      </c>
      <c r="D16" s="575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.75">
      <c r="A17" s="332" t="s">
        <v>400</v>
      </c>
      <c r="B17" s="333" t="s">
        <v>401</v>
      </c>
      <c r="C17" s="575">
        <v>-30</v>
      </c>
      <c r="D17" s="575">
        <v>-8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.75">
      <c r="A18" s="334" t="s">
        <v>402</v>
      </c>
      <c r="B18" s="335" t="s">
        <v>403</v>
      </c>
      <c r="C18" s="575">
        <v>-5</v>
      </c>
      <c r="D18" s="575">
        <v>-5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.75">
      <c r="A19" s="332" t="s">
        <v>404</v>
      </c>
      <c r="B19" s="333" t="s">
        <v>405</v>
      </c>
      <c r="C19" s="575">
        <v>11</v>
      </c>
      <c r="D19" s="575">
        <v>-92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66</v>
      </c>
      <c r="D20" s="55">
        <f>SUM(D10:D19)</f>
        <v>160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.75">
      <c r="A22" s="332" t="s">
        <v>409</v>
      </c>
      <c r="B22" s="333" t="s">
        <v>410</v>
      </c>
      <c r="C22" s="575">
        <v>-782</v>
      </c>
      <c r="D22" s="575">
        <v>-162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-782</v>
      </c>
      <c r="D32" s="55">
        <f>SUM(D22:D31)</f>
        <v>-162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1076</v>
      </c>
      <c r="D36" s="54">
        <v>411</v>
      </c>
      <c r="E36" s="130"/>
      <c r="F36" s="130"/>
    </row>
    <row r="37" spans="1:6" ht="12.75">
      <c r="A37" s="332" t="s">
        <v>437</v>
      </c>
      <c r="B37" s="333" t="s">
        <v>438</v>
      </c>
      <c r="C37" s="575">
        <v>-443</v>
      </c>
      <c r="D37" s="575">
        <v>-150</v>
      </c>
      <c r="E37" s="130"/>
      <c r="F37" s="130"/>
    </row>
    <row r="38" spans="1:6" ht="12.75">
      <c r="A38" s="332" t="s">
        <v>439</v>
      </c>
      <c r="B38" s="333" t="s">
        <v>440</v>
      </c>
      <c r="C38" s="575">
        <v>-116</v>
      </c>
      <c r="D38" s="575"/>
      <c r="E38" s="130"/>
      <c r="F38" s="130"/>
    </row>
    <row r="39" spans="1:6" ht="12.75">
      <c r="A39" s="332" t="s">
        <v>441</v>
      </c>
      <c r="B39" s="333" t="s">
        <v>442</v>
      </c>
      <c r="C39" s="575">
        <f>-69+30</f>
        <v>-39</v>
      </c>
      <c r="D39" s="575">
        <f>-57+8</f>
        <v>-49</v>
      </c>
      <c r="E39" s="130"/>
      <c r="F39" s="130"/>
    </row>
    <row r="40" spans="1:6" ht="12.75">
      <c r="A40" s="332" t="s">
        <v>443</v>
      </c>
      <c r="B40" s="333" t="s">
        <v>444</v>
      </c>
      <c r="C40" s="575"/>
      <c r="D40" s="575">
        <v>-245</v>
      </c>
      <c r="E40" s="130"/>
      <c r="F40" s="130"/>
    </row>
    <row r="41" spans="1:8" ht="12.75">
      <c r="A41" s="332" t="s">
        <v>445</v>
      </c>
      <c r="B41" s="333" t="s">
        <v>446</v>
      </c>
      <c r="C41" s="575">
        <v>235</v>
      </c>
      <c r="D41" s="575">
        <v>42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713</v>
      </c>
      <c r="D42" s="55">
        <f>SUM(D34:D41)</f>
        <v>9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-3</v>
      </c>
      <c r="D43" s="55">
        <f>D42+D32+D20</f>
        <v>7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28</v>
      </c>
      <c r="D44" s="132">
        <v>24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25</v>
      </c>
      <c r="D45" s="55">
        <f>D44+D43</f>
        <v>31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25</v>
      </c>
      <c r="D46" s="56">
        <v>31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868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90"/>
      <c r="D50" s="590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781</v>
      </c>
      <c r="C52" s="590"/>
      <c r="D52" s="590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31496062992125984" right="0.1968503937007874" top="0.61" bottom="0.24" header="0.32" footer="0.18"/>
  <pageSetup horizontalDpi="600" verticalDpi="600" orientation="landscape" paperSize="9" scale="82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A39" sqref="A39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1" t="s">
        <v>459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3" t="str">
        <f>'справка №1-БАЛАНС'!E3</f>
        <v> "Торготерм"АД</v>
      </c>
      <c r="C3" s="593"/>
      <c r="D3" s="593"/>
      <c r="E3" s="593"/>
      <c r="F3" s="593"/>
      <c r="G3" s="593"/>
      <c r="H3" s="593"/>
      <c r="I3" s="593"/>
      <c r="J3" s="476"/>
      <c r="K3" s="595" t="s">
        <v>2</v>
      </c>
      <c r="L3" s="595"/>
      <c r="M3" s="478">
        <f>'справка №1-БАЛАНС'!H3</f>
        <v>819363984</v>
      </c>
      <c r="N3" s="2"/>
    </row>
    <row r="4" spans="1:15" s="532" customFormat="1" ht="13.5" customHeight="1">
      <c r="A4" s="467" t="s">
        <v>460</v>
      </c>
      <c r="B4" s="593" t="str">
        <f>'справка №1-БАЛАНС'!E4</f>
        <v>неконсолидиран</v>
      </c>
      <c r="C4" s="593"/>
      <c r="D4" s="593"/>
      <c r="E4" s="593"/>
      <c r="F4" s="593"/>
      <c r="G4" s="593"/>
      <c r="H4" s="593"/>
      <c r="I4" s="593"/>
      <c r="J4" s="136"/>
      <c r="K4" s="596" t="s">
        <v>4</v>
      </c>
      <c r="L4" s="596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7" t="str">
        <f>'справка №1-БАЛАНС'!E5</f>
        <v>01.01.2009-30.09.2010</v>
      </c>
      <c r="C5" s="597"/>
      <c r="D5" s="597"/>
      <c r="E5" s="597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3000</v>
      </c>
      <c r="D11" s="58">
        <f>'справка №1-БАЛАНС'!H19</f>
        <v>0</v>
      </c>
      <c r="E11" s="58">
        <f>'справка №1-БАЛАНС'!H20</f>
        <v>1351</v>
      </c>
      <c r="F11" s="58">
        <f>'справка №1-БАЛАНС'!H22</f>
        <v>300</v>
      </c>
      <c r="G11" s="58">
        <f>'справка №1-БАЛАНС'!H23</f>
        <v>0</v>
      </c>
      <c r="H11" s="60"/>
      <c r="I11" s="58">
        <f>'справка №1-БАЛАНС'!H28+'справка №1-БАЛАНС'!H31</f>
        <v>671</v>
      </c>
      <c r="J11" s="58">
        <f>'справка №1-БАЛАНС'!H29+'справка №1-БАЛАНС'!H32</f>
        <v>-236</v>
      </c>
      <c r="K11" s="60"/>
      <c r="L11" s="344">
        <f>SUM(C11:K11)</f>
        <v>5086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3000</v>
      </c>
      <c r="D15" s="61">
        <f aca="true" t="shared" si="2" ref="D15:M15">D11+D12</f>
        <v>0</v>
      </c>
      <c r="E15" s="61">
        <f t="shared" si="2"/>
        <v>1351</v>
      </c>
      <c r="F15" s="61">
        <f t="shared" si="2"/>
        <v>300</v>
      </c>
      <c r="G15" s="61">
        <f t="shared" si="2"/>
        <v>0</v>
      </c>
      <c r="H15" s="61">
        <f t="shared" si="2"/>
        <v>0</v>
      </c>
      <c r="I15" s="61">
        <f t="shared" si="2"/>
        <v>671</v>
      </c>
      <c r="J15" s="61">
        <f t="shared" si="2"/>
        <v>-236</v>
      </c>
      <c r="K15" s="61">
        <f t="shared" si="2"/>
        <v>0</v>
      </c>
      <c r="L15" s="344">
        <f t="shared" si="1"/>
        <v>5086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281</v>
      </c>
      <c r="J16" s="345">
        <f>+'справка №1-БАЛАНС'!G32</f>
        <v>0</v>
      </c>
      <c r="K16" s="60"/>
      <c r="L16" s="344">
        <f t="shared" si="1"/>
        <v>281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>
        <v>-3</v>
      </c>
      <c r="F28" s="60"/>
      <c r="G28" s="60"/>
      <c r="H28" s="60"/>
      <c r="I28" s="60">
        <v>3</v>
      </c>
      <c r="J28" s="60">
        <v>-205</v>
      </c>
      <c r="K28" s="60"/>
      <c r="L28" s="344">
        <f t="shared" si="1"/>
        <v>-205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3000</v>
      </c>
      <c r="D29" s="59">
        <f aca="true" t="shared" si="6" ref="D29:M29">D17+D20+D21+D24+D28+D27+D15+D16</f>
        <v>0</v>
      </c>
      <c r="E29" s="59">
        <f t="shared" si="6"/>
        <v>1348</v>
      </c>
      <c r="F29" s="59">
        <f t="shared" si="6"/>
        <v>300</v>
      </c>
      <c r="G29" s="59">
        <f t="shared" si="6"/>
        <v>0</v>
      </c>
      <c r="H29" s="59">
        <f t="shared" si="6"/>
        <v>0</v>
      </c>
      <c r="I29" s="59">
        <f t="shared" si="6"/>
        <v>955</v>
      </c>
      <c r="J29" s="59">
        <f t="shared" si="6"/>
        <v>-441</v>
      </c>
      <c r="K29" s="59">
        <f t="shared" si="6"/>
        <v>0</v>
      </c>
      <c r="L29" s="344">
        <f t="shared" si="1"/>
        <v>5162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3000</v>
      </c>
      <c r="D32" s="59">
        <f t="shared" si="7"/>
        <v>0</v>
      </c>
      <c r="E32" s="59">
        <f t="shared" si="7"/>
        <v>1348</v>
      </c>
      <c r="F32" s="59">
        <f t="shared" si="7"/>
        <v>300</v>
      </c>
      <c r="G32" s="59">
        <f t="shared" si="7"/>
        <v>0</v>
      </c>
      <c r="H32" s="59">
        <f t="shared" si="7"/>
        <v>0</v>
      </c>
      <c r="I32" s="59">
        <f t="shared" si="7"/>
        <v>955</v>
      </c>
      <c r="J32" s="59">
        <f t="shared" si="7"/>
        <v>-441</v>
      </c>
      <c r="K32" s="59">
        <f t="shared" si="7"/>
        <v>0</v>
      </c>
      <c r="L32" s="344">
        <f t="shared" si="1"/>
        <v>5162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 t="s">
        <v>862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869</v>
      </c>
      <c r="B38" s="19"/>
      <c r="C38" s="15"/>
      <c r="D38" s="592" t="s">
        <v>521</v>
      </c>
      <c r="E38" s="592"/>
      <c r="F38" s="592"/>
      <c r="G38" s="592"/>
      <c r="H38" s="592"/>
      <c r="I38" s="592"/>
      <c r="J38" s="15" t="s">
        <v>857</v>
      </c>
      <c r="K38" s="15"/>
      <c r="L38" s="592"/>
      <c r="M38" s="592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9">
      <selection activeCell="G45" sqref="G4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8" t="s">
        <v>383</v>
      </c>
      <c r="B2" s="599"/>
      <c r="C2" s="600" t="str">
        <f>'справка №1-БАЛАНС'!E3</f>
        <v> "Торготерм"АД</v>
      </c>
      <c r="D2" s="600"/>
      <c r="E2" s="600"/>
      <c r="F2" s="600"/>
      <c r="G2" s="600"/>
      <c r="H2" s="60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819363984</v>
      </c>
      <c r="P2" s="483"/>
      <c r="Q2" s="483"/>
      <c r="R2" s="526"/>
    </row>
    <row r="3" spans="1:18" ht="15">
      <c r="A3" s="598" t="s">
        <v>5</v>
      </c>
      <c r="B3" s="599"/>
      <c r="C3" s="601" t="str">
        <f>'справка №1-БАЛАНС'!E5</f>
        <v>01.01.2009-30.09.2010</v>
      </c>
      <c r="D3" s="601"/>
      <c r="E3" s="601"/>
      <c r="F3" s="485"/>
      <c r="G3" s="485"/>
      <c r="H3" s="485"/>
      <c r="I3" s="485"/>
      <c r="J3" s="485"/>
      <c r="K3" s="485"/>
      <c r="L3" s="485"/>
      <c r="M3" s="602" t="s">
        <v>4</v>
      </c>
      <c r="N3" s="602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3" t="s">
        <v>463</v>
      </c>
      <c r="B5" s="604"/>
      <c r="C5" s="607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612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12" t="s">
        <v>529</v>
      </c>
      <c r="R5" s="612" t="s">
        <v>530</v>
      </c>
    </row>
    <row r="6" spans="1:18" s="100" customFormat="1" ht="48">
      <c r="A6" s="605"/>
      <c r="B6" s="606"/>
      <c r="C6" s="608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13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13"/>
      <c r="R6" s="613"/>
    </row>
    <row r="7" spans="1:18" s="100" customFormat="1" ht="12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>
        <v>330</v>
      </c>
      <c r="E9" s="189"/>
      <c r="F9" s="189"/>
      <c r="G9" s="74">
        <f>D9+E9-F9</f>
        <v>330</v>
      </c>
      <c r="H9" s="65"/>
      <c r="I9" s="65"/>
      <c r="J9" s="74">
        <f>G9+H9-I9</f>
        <v>330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330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>
        <v>1843</v>
      </c>
      <c r="E10" s="189"/>
      <c r="F10" s="189"/>
      <c r="G10" s="74">
        <f aca="true" t="shared" si="2" ref="G10:G39">D10+E10-F10</f>
        <v>1843</v>
      </c>
      <c r="H10" s="65"/>
      <c r="I10" s="65"/>
      <c r="J10" s="74">
        <f aca="true" t="shared" si="3" ref="J10:J39">G10+H10-I10</f>
        <v>1843</v>
      </c>
      <c r="K10" s="65">
        <v>379</v>
      </c>
      <c r="L10" s="65">
        <v>55</v>
      </c>
      <c r="M10" s="65"/>
      <c r="N10" s="74">
        <f aca="true" t="shared" si="4" ref="N10:N39">K10+L10-M10</f>
        <v>434</v>
      </c>
      <c r="O10" s="65"/>
      <c r="P10" s="65"/>
      <c r="Q10" s="74">
        <f t="shared" si="0"/>
        <v>434</v>
      </c>
      <c r="R10" s="74">
        <f t="shared" si="1"/>
        <v>1409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v>4967</v>
      </c>
      <c r="E11" s="189">
        <v>3</v>
      </c>
      <c r="F11" s="189">
        <v>33</v>
      </c>
      <c r="G11" s="74">
        <f t="shared" si="2"/>
        <v>4937</v>
      </c>
      <c r="H11" s="65"/>
      <c r="I11" s="65"/>
      <c r="J11" s="74">
        <f t="shared" si="3"/>
        <v>4937</v>
      </c>
      <c r="K11" s="65">
        <v>3788</v>
      </c>
      <c r="L11" s="65">
        <v>288</v>
      </c>
      <c r="M11" s="65">
        <v>33</v>
      </c>
      <c r="N11" s="74">
        <f t="shared" si="4"/>
        <v>4043</v>
      </c>
      <c r="O11" s="65"/>
      <c r="P11" s="65"/>
      <c r="Q11" s="74">
        <f t="shared" si="0"/>
        <v>4043</v>
      </c>
      <c r="R11" s="74">
        <f t="shared" si="1"/>
        <v>894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>
        <v>329</v>
      </c>
      <c r="E12" s="189"/>
      <c r="F12" s="189"/>
      <c r="G12" s="74">
        <f t="shared" si="2"/>
        <v>329</v>
      </c>
      <c r="H12" s="65"/>
      <c r="I12" s="65"/>
      <c r="J12" s="74">
        <f t="shared" si="3"/>
        <v>329</v>
      </c>
      <c r="K12" s="65">
        <v>182</v>
      </c>
      <c r="L12" s="65">
        <v>11</v>
      </c>
      <c r="M12" s="65"/>
      <c r="N12" s="74">
        <f t="shared" si="4"/>
        <v>193</v>
      </c>
      <c r="O12" s="65"/>
      <c r="P12" s="65"/>
      <c r="Q12" s="74">
        <f t="shared" si="0"/>
        <v>193</v>
      </c>
      <c r="R12" s="74">
        <f t="shared" si="1"/>
        <v>136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272</v>
      </c>
      <c r="E13" s="189"/>
      <c r="F13" s="189">
        <v>47</v>
      </c>
      <c r="G13" s="74">
        <f t="shared" si="2"/>
        <v>225</v>
      </c>
      <c r="H13" s="65"/>
      <c r="I13" s="65"/>
      <c r="J13" s="74">
        <f t="shared" si="3"/>
        <v>225</v>
      </c>
      <c r="K13" s="65">
        <v>193</v>
      </c>
      <c r="L13" s="65">
        <v>31</v>
      </c>
      <c r="M13" s="65">
        <v>38</v>
      </c>
      <c r="N13" s="74">
        <f t="shared" si="4"/>
        <v>186</v>
      </c>
      <c r="O13" s="65"/>
      <c r="P13" s="65"/>
      <c r="Q13" s="74">
        <f t="shared" si="0"/>
        <v>186</v>
      </c>
      <c r="R13" s="74">
        <f t="shared" si="1"/>
        <v>39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f>168+247+293</f>
        <v>708</v>
      </c>
      <c r="E14" s="189">
        <f>10</f>
        <v>10</v>
      </c>
      <c r="F14" s="189">
        <f>13+3</f>
        <v>16</v>
      </c>
      <c r="G14" s="74">
        <f t="shared" si="2"/>
        <v>702</v>
      </c>
      <c r="H14" s="65"/>
      <c r="I14" s="65"/>
      <c r="J14" s="74">
        <f t="shared" si="3"/>
        <v>702</v>
      </c>
      <c r="K14" s="65">
        <f>138+150+255</f>
        <v>543</v>
      </c>
      <c r="L14" s="65">
        <f>12+17+13</f>
        <v>42</v>
      </c>
      <c r="M14" s="65">
        <f>13+3</f>
        <v>16</v>
      </c>
      <c r="N14" s="74">
        <f t="shared" si="4"/>
        <v>569</v>
      </c>
      <c r="O14" s="65"/>
      <c r="P14" s="65"/>
      <c r="Q14" s="74">
        <f t="shared" si="0"/>
        <v>569</v>
      </c>
      <c r="R14" s="74">
        <f t="shared" si="1"/>
        <v>133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858</v>
      </c>
      <c r="B15" s="374" t="s">
        <v>859</v>
      </c>
      <c r="C15" s="456" t="s">
        <v>860</v>
      </c>
      <c r="D15" s="457">
        <v>11</v>
      </c>
      <c r="E15" s="457">
        <v>30</v>
      </c>
      <c r="F15" s="457"/>
      <c r="G15" s="74">
        <f t="shared" si="2"/>
        <v>41</v>
      </c>
      <c r="H15" s="458"/>
      <c r="I15" s="458"/>
      <c r="J15" s="74">
        <f t="shared" si="3"/>
        <v>41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41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8460</v>
      </c>
      <c r="E17" s="194">
        <f>SUM(E9:E16)</f>
        <v>43</v>
      </c>
      <c r="F17" s="194">
        <f>SUM(F9:F16)</f>
        <v>96</v>
      </c>
      <c r="G17" s="74">
        <f t="shared" si="2"/>
        <v>8407</v>
      </c>
      <c r="H17" s="75">
        <f>SUM(H9:H16)</f>
        <v>0</v>
      </c>
      <c r="I17" s="75">
        <f>SUM(I9:I16)</f>
        <v>0</v>
      </c>
      <c r="J17" s="74">
        <f t="shared" si="3"/>
        <v>8407</v>
      </c>
      <c r="K17" s="75">
        <f>SUM(K9:K16)</f>
        <v>5085</v>
      </c>
      <c r="L17" s="75">
        <f>SUM(L9:L16)</f>
        <v>427</v>
      </c>
      <c r="M17" s="75">
        <f>SUM(M9:M16)</f>
        <v>87</v>
      </c>
      <c r="N17" s="74">
        <f t="shared" si="4"/>
        <v>5425</v>
      </c>
      <c r="O17" s="75">
        <f>SUM(O9:O16)</f>
        <v>0</v>
      </c>
      <c r="P17" s="75">
        <f>SUM(P9:P16)</f>
        <v>0</v>
      </c>
      <c r="Q17" s="74">
        <f t="shared" si="5"/>
        <v>5425</v>
      </c>
      <c r="R17" s="74">
        <f t="shared" si="6"/>
        <v>2982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74</v>
      </c>
      <c r="E22" s="189"/>
      <c r="F22" s="189">
        <v>3</v>
      </c>
      <c r="G22" s="74">
        <f t="shared" si="2"/>
        <v>71</v>
      </c>
      <c r="H22" s="65"/>
      <c r="I22" s="65"/>
      <c r="J22" s="74">
        <f t="shared" si="3"/>
        <v>71</v>
      </c>
      <c r="K22" s="65">
        <v>32</v>
      </c>
      <c r="L22" s="65">
        <v>12</v>
      </c>
      <c r="M22" s="65">
        <v>3</v>
      </c>
      <c r="N22" s="74">
        <f t="shared" si="4"/>
        <v>41</v>
      </c>
      <c r="O22" s="65"/>
      <c r="P22" s="65"/>
      <c r="Q22" s="74">
        <f t="shared" si="5"/>
        <v>41</v>
      </c>
      <c r="R22" s="74">
        <f t="shared" si="6"/>
        <v>30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74</v>
      </c>
      <c r="E25" s="190">
        <f aca="true" t="shared" si="7" ref="E25:P25">SUM(E21:E24)</f>
        <v>0</v>
      </c>
      <c r="F25" s="190">
        <f t="shared" si="7"/>
        <v>3</v>
      </c>
      <c r="G25" s="67">
        <f t="shared" si="2"/>
        <v>71</v>
      </c>
      <c r="H25" s="66">
        <f t="shared" si="7"/>
        <v>0</v>
      </c>
      <c r="I25" s="66">
        <f t="shared" si="7"/>
        <v>0</v>
      </c>
      <c r="J25" s="67">
        <f t="shared" si="3"/>
        <v>71</v>
      </c>
      <c r="K25" s="66">
        <f t="shared" si="7"/>
        <v>32</v>
      </c>
      <c r="L25" s="66">
        <f t="shared" si="7"/>
        <v>12</v>
      </c>
      <c r="M25" s="66">
        <f t="shared" si="7"/>
        <v>3</v>
      </c>
      <c r="N25" s="67">
        <f t="shared" si="4"/>
        <v>41</v>
      </c>
      <c r="O25" s="66">
        <f t="shared" si="7"/>
        <v>0</v>
      </c>
      <c r="P25" s="66">
        <f t="shared" si="7"/>
        <v>0</v>
      </c>
      <c r="Q25" s="67">
        <f t="shared" si="5"/>
        <v>41</v>
      </c>
      <c r="R25" s="67">
        <f t="shared" si="6"/>
        <v>30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853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8534</v>
      </c>
      <c r="E40" s="438">
        <f>E17+E18+E19+E25+E38+E39</f>
        <v>43</v>
      </c>
      <c r="F40" s="438">
        <f aca="true" t="shared" si="13" ref="F40:R40">F17+F18+F19+F25+F38+F39</f>
        <v>99</v>
      </c>
      <c r="G40" s="438">
        <f t="shared" si="13"/>
        <v>8478</v>
      </c>
      <c r="H40" s="438">
        <f t="shared" si="13"/>
        <v>0</v>
      </c>
      <c r="I40" s="438">
        <f t="shared" si="13"/>
        <v>0</v>
      </c>
      <c r="J40" s="438">
        <f t="shared" si="13"/>
        <v>8478</v>
      </c>
      <c r="K40" s="438">
        <f t="shared" si="13"/>
        <v>5117</v>
      </c>
      <c r="L40" s="438">
        <f t="shared" si="13"/>
        <v>439</v>
      </c>
      <c r="M40" s="438">
        <f t="shared" si="13"/>
        <v>90</v>
      </c>
      <c r="N40" s="438">
        <f t="shared" si="13"/>
        <v>5466</v>
      </c>
      <c r="O40" s="438">
        <f t="shared" si="13"/>
        <v>0</v>
      </c>
      <c r="P40" s="438">
        <f t="shared" si="13"/>
        <v>0</v>
      </c>
      <c r="Q40" s="438">
        <f t="shared" si="13"/>
        <v>5466</v>
      </c>
      <c r="R40" s="438">
        <f t="shared" si="13"/>
        <v>3012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870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09"/>
      <c r="L44" s="609"/>
      <c r="M44" s="609"/>
      <c r="N44" s="609"/>
      <c r="O44" s="610" t="s">
        <v>781</v>
      </c>
      <c r="P44" s="611"/>
      <c r="Q44" s="611"/>
      <c r="R44" s="611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K44:N44"/>
    <mergeCell ref="O44:R44"/>
    <mergeCell ref="Q5:Q6"/>
    <mergeCell ref="R5:R6"/>
    <mergeCell ref="J5:J6"/>
    <mergeCell ref="A2:B2"/>
    <mergeCell ref="C2:H2"/>
    <mergeCell ref="A3:B3"/>
    <mergeCell ref="C3:E3"/>
    <mergeCell ref="M3:N3"/>
    <mergeCell ref="A5:B6"/>
    <mergeCell ref="C5:C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A110" sqref="A110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609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0" t="str">
        <f>'справка №1-БАЛАНС'!E3</f>
        <v> "Торготерм"АД</v>
      </c>
      <c r="C3" s="621"/>
      <c r="D3" s="526" t="s">
        <v>2</v>
      </c>
      <c r="E3" s="107">
        <f>'справка №1-БАЛАНС'!H3</f>
        <v>819363984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8" t="str">
        <f>'справка №1-БАЛАНС'!E5</f>
        <v>01.01.2009-30.09.2010</v>
      </c>
      <c r="C4" s="619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752</v>
      </c>
      <c r="D24" s="119">
        <f>SUM(D25:D27)</f>
        <v>752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>
        <v>752</v>
      </c>
      <c r="D27" s="108">
        <v>752</v>
      </c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2536</v>
      </c>
      <c r="D28" s="108">
        <v>2536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v>797</v>
      </c>
      <c r="D29" s="108">
        <v>797</v>
      </c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>
        <v>7</v>
      </c>
      <c r="D31" s="108">
        <v>7</v>
      </c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94</v>
      </c>
      <c r="D33" s="105">
        <f>SUM(D34:D37)</f>
        <v>94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>
        <v>94</v>
      </c>
      <c r="D35" s="108">
        <v>94</v>
      </c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/>
      <c r="D42" s="108"/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4186</v>
      </c>
      <c r="D43" s="104">
        <f>D24+D28+D29+D31+D30+D32+D33+D38</f>
        <v>4186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4186</v>
      </c>
      <c r="D44" s="103">
        <f>D43+D21+D19+D9</f>
        <v>4186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970</v>
      </c>
      <c r="D56" s="103">
        <f>D57+D59</f>
        <v>0</v>
      </c>
      <c r="E56" s="119">
        <f t="shared" si="1"/>
        <v>970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>
        <v>970</v>
      </c>
      <c r="D57" s="108"/>
      <c r="E57" s="119">
        <f t="shared" si="1"/>
        <v>970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>
        <v>248</v>
      </c>
      <c r="D64" s="108"/>
      <c r="E64" s="119">
        <f t="shared" si="1"/>
        <v>248</v>
      </c>
      <c r="F64" s="110"/>
    </row>
    <row r="65" spans="1:6" ht="12">
      <c r="A65" s="396" t="s">
        <v>709</v>
      </c>
      <c r="B65" s="397" t="s">
        <v>710</v>
      </c>
      <c r="C65" s="109">
        <v>248</v>
      </c>
      <c r="D65" s="109"/>
      <c r="E65" s="119">
        <f t="shared" si="1"/>
        <v>248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1218</v>
      </c>
      <c r="D66" s="103">
        <f>D52+D56+D61+D62+D63+D64</f>
        <v>0</v>
      </c>
      <c r="E66" s="119">
        <f t="shared" si="1"/>
        <v>1218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>
        <v>29</v>
      </c>
      <c r="D68" s="108"/>
      <c r="E68" s="119">
        <f t="shared" si="1"/>
        <v>29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489</v>
      </c>
      <c r="D75" s="103">
        <f>D76+D78</f>
        <v>489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>
        <v>489</v>
      </c>
      <c r="D76" s="108">
        <v>489</v>
      </c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200</v>
      </c>
      <c r="D80" s="103">
        <f>SUM(D81:D84)</f>
        <v>200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>
        <v>200</v>
      </c>
      <c r="D83" s="108">
        <v>200</v>
      </c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2558</v>
      </c>
      <c r="D85" s="104">
        <f>SUM(D86:D90)+D94</f>
        <v>2558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>
        <v>117</v>
      </c>
      <c r="D86" s="108">
        <v>117</v>
      </c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2201</v>
      </c>
      <c r="D87" s="108">
        <v>2201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v>28</v>
      </c>
      <c r="D88" s="108">
        <v>28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167</v>
      </c>
      <c r="D89" s="108">
        <v>167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8</v>
      </c>
      <c r="D90" s="103">
        <f>SUM(D91:D93)</f>
        <v>8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v>8</v>
      </c>
      <c r="D93" s="108">
        <v>8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v>37</v>
      </c>
      <c r="D94" s="108">
        <v>37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53</v>
      </c>
      <c r="D95" s="108">
        <v>53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3300</v>
      </c>
      <c r="D96" s="104">
        <f>D85+D80+D75+D71+D95</f>
        <v>3300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4547</v>
      </c>
      <c r="D97" s="104">
        <f>D96+D68+D66</f>
        <v>3300</v>
      </c>
      <c r="E97" s="104">
        <f>E96+E68+E66</f>
        <v>1247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780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871</v>
      </c>
      <c r="B109" s="615"/>
      <c r="C109" s="615" t="s">
        <v>381</v>
      </c>
      <c r="D109" s="615"/>
      <c r="E109" s="615"/>
      <c r="F109" s="615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4" t="s">
        <v>781</v>
      </c>
      <c r="D111" s="614"/>
      <c r="E111" s="614"/>
      <c r="F111" s="614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7">
      <selection activeCell="C20" sqref="C20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2" t="str">
        <f>'справка №1-БАЛАНС'!E3</f>
        <v> "Торготерм"АД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819363984</v>
      </c>
    </row>
    <row r="5" spans="1:9" ht="15">
      <c r="A5" s="501" t="s">
        <v>5</v>
      </c>
      <c r="B5" s="623" t="str">
        <f>'справка №1-БАЛАНС'!E5</f>
        <v>01.01.2009-30.09.2010</v>
      </c>
      <c r="C5" s="623"/>
      <c r="D5" s="623"/>
      <c r="E5" s="623"/>
      <c r="F5" s="623"/>
      <c r="G5" s="626" t="s">
        <v>4</v>
      </c>
      <c r="H5" s="627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871</v>
      </c>
      <c r="B30" s="625"/>
      <c r="C30" s="625"/>
      <c r="D30" s="459" t="s">
        <v>819</v>
      </c>
      <c r="E30" s="624"/>
      <c r="F30" s="624"/>
      <c r="G30" s="624"/>
      <c r="H30" s="420" t="s">
        <v>781</v>
      </c>
      <c r="I30" s="624"/>
      <c r="J30" s="624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30">
      <selection activeCell="A152" sqref="A152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9" t="str">
        <f>'справка №1-БАЛАНС'!E3</f>
        <v> "Торготерм"АД</v>
      </c>
      <c r="C5" s="629"/>
      <c r="D5" s="629"/>
      <c r="E5" s="570" t="s">
        <v>2</v>
      </c>
      <c r="F5" s="451">
        <f>'справка №1-БАЛАНС'!H3</f>
        <v>819363984</v>
      </c>
    </row>
    <row r="6" spans="1:13" ht="15" customHeight="1">
      <c r="A6" s="27" t="s">
        <v>822</v>
      </c>
      <c r="B6" s="630" t="str">
        <f>'справка №1-БАЛАНС'!E5</f>
        <v>01.01.2009-30.09.2010</v>
      </c>
      <c r="C6" s="630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830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840</v>
      </c>
      <c r="B79" s="39" t="s">
        <v>841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871</v>
      </c>
      <c r="B151" s="453"/>
      <c r="C151" s="631" t="s">
        <v>849</v>
      </c>
      <c r="D151" s="631"/>
      <c r="E151" s="631"/>
      <c r="F151" s="631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1" t="s">
        <v>856</v>
      </c>
      <c r="D153" s="631"/>
      <c r="E153" s="631"/>
      <c r="F153" s="631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Evelina Y. Milenska</cp:lastModifiedBy>
  <cp:lastPrinted>2010-10-27T07:38:47Z</cp:lastPrinted>
  <dcterms:created xsi:type="dcterms:W3CDTF">2000-06-29T12:02:40Z</dcterms:created>
  <dcterms:modified xsi:type="dcterms:W3CDTF">2010-10-27T08:04:05Z</dcterms:modified>
  <cp:category/>
  <cp:version/>
  <cp:contentType/>
  <cp:contentStatus/>
</cp:coreProperties>
</file>