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<sst xmlns="http://schemas.openxmlformats.org/spreadsheetml/2006/main" count="1078" uniqueCount="911">
  <si>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</si>
  <si>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</si>
  <si>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</si>
  <si>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</si>
  <si>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</si>
  <si>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</si>
  <si>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</si>
  <si>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</si>
  <si>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</si>
  <si>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</si>
  <si>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</si>
  <si>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</si>
  <si>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</si>
  <si>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</si>
  <si>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</si>
  <si>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</si>
  <si>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</si>
  <si>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</si>
  <si>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</si>
  <si>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</si>
  <si>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</si>
  <si>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</si>
  <si>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</si>
  <si>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</si>
  <si>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</si>
  <si>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</si>
  <si>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</si>
  <si>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</si>
  <si>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</si>
  <si>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</si>
  <si>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</si>
  <si>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</si>
  <si>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</si>
  <si>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</si>
  <si>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</si>
  <si>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</si>
  <si>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</si>
  <si>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</si>
  <si>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</si>
  <si>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</si>
  <si>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</si>
  <si>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</si>
  <si>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</si>
  <si>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</si>
  <si>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</si>
  <si>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</si>
  <si>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</si>
  <si>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</si>
  <si>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</si>
  <si>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</si>
  <si>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</si>
  <si>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</si>
  <si>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</si>
  <si>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</si>
  <si>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</si>
  <si>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</si>
  <si>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</si>
  <si>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</si>
  <si>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</si>
  <si>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</si>
  <si>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</si>
  <si>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</si>
  <si>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</si>
  <si>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</si>
  <si>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</si>
  <si>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</si>
  <si>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</si>
  <si>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</si>
  <si>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</si>
  <si>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</si>
  <si>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</si>
  <si>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</si>
  <si>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</si>
  <si>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</si>
  <si>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</si>
  <si>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</si>
  <si>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</si>
  <si>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</si>
  <si>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</si>
  <si>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</si>
  <si>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</si>
  <si>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</si>
  <si>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</si>
  <si>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</si>
  <si>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</si>
  <si>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</si>
  <si>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</si>
  <si>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</si>
  <si>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</si>
  <si>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</si>
  <si>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</si>
  <si>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</si>
  <si>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</si>
  <si>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</si>
  <si>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</si>
  <si>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</si>
  <si>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</si>
  <si>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</si>
  <si>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</si>
  <si>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</si>
  <si>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</si>
  <si>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</si>
  <si>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</si>
  <si>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</si>
  <si>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</si>
  <si>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</si>
  <si>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</si>
  <si>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</si>
  <si>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</si>
  <si>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</si>
  <si>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</si>
  <si>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</si>
  <si>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</si>
  <si>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</si>
  <si>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</si>
  <si>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</si>
  <si>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</si>
  <si>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</si>
  <si>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</si>
  <si>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</si>
  <si>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</si>
  <si>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</si>
  <si>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</si>
  <si>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</si>
  <si>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</si>
  <si>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</si>
  <si>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</si>
  <si>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</si>
  <si>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</si>
  <si>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</si>
  <si>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</si>
  <si>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</si>
  <si>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</si>
  <si>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</si>
  <si>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</si>
  <si>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</si>
  <si>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</si>
  <si>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</si>
  <si>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</si>
  <si>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</si>
  <si>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</si>
  <si>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</si>
  <si>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</si>
  <si>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</si>
  <si>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</si>
  <si>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</si>
  <si>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</si>
  <si>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</si>
  <si>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</si>
  <si>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</si>
  <si>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</si>
  <si>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</si>
  <si>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</si>
  <si>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</si>
  <si>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</si>
  <si>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</si>
  <si>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</si>
  <si>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</si>
  <si>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</si>
  <si>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</si>
  <si>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</si>
  <si>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</si>
  <si>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</si>
  <si>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</si>
  <si>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</si>
  <si>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</si>
  <si>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</si>
  <si>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</si>
  <si>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</si>
  <si>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</si>
  <si>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</si>
  <si>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</si>
  <si>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</si>
  <si>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</si>
  <si>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</si>
  <si>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</si>
  <si>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</si>
  <si>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</si>
  <si>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</si>
  <si>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</si>
  <si>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</si>
  <si>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</si>
  <si>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</si>
  <si>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</si>
  <si>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</si>
  <si>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</si>
  <si>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</si>
  <si>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</si>
  <si>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</si>
  <si>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</si>
  <si>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</si>
  <si>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</si>
  <si>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</si>
  <si>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</si>
  <si>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</si>
  <si>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</si>
  <si>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</si>
  <si>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</si>
  <si>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</si>
  <si>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</si>
  <si>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</si>
  <si>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</si>
  <si>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</si>
  <si>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</si>
  <si>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</si>
  <si>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</si>
  <si>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</si>
  <si>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</si>
  <si>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</si>
  <si>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</si>
  <si>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</si>
  <si>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</si>
  <si>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</si>
  <si>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</si>
  <si>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</si>
  <si>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</si>
  <si>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</si>
  <si>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</si>
  <si>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</si>
  <si>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</si>
  <si>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</si>
  <si>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</si>
  <si>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</si>
  <si>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</si>
  <si>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</si>
  <si>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</si>
  <si>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</si>
  <si>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</si>
  <si>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</si>
  <si>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</si>
  <si>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</si>
  <si>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</si>
  <si>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</si>
  <si>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</si>
  <si>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</si>
  <si>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</si>
  <si>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</si>
  <si>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</si>
  <si>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</si>
  <si>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</si>
  <si>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</si>
  <si>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</si>
  <si>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</si>
  <si>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</si>
  <si>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</si>
  <si>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</si>
  <si>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</si>
  <si>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</si>
  <si>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</si>
  <si>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</si>
  <si>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</si>
  <si>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</si>
  <si>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</si>
  <si>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</si>
  <si>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</si>
  <si>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</si>
  <si>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</si>
  <si>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</si>
  <si>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</si>
  <si>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</si>
  <si>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</si>
  <si>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</si>
  <si>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</si>
  <si>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</si>
  <si>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</si>
  <si>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</si>
  <si>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</si>
  <si>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</si>
  <si>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</si>
  <si>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</si>
  <si>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</si>
  <si>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</si>
  <si>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</si>
  <si>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</si>
  <si>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</si>
  <si>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</si>
  <si>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</si>
  <si>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</si>
  <si>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</si>
  <si>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</si>
  <si>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</si>
  <si>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</si>
  <si>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</si>
  <si>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</si>
  <si>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</si>
  <si>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</si>
  <si>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</si>
  <si>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</si>
  <si>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</si>
  <si>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</si>
  <si>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</si>
  <si>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</si>
  <si>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</si>
  <si>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</si>
  <si>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</si>
  <si>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</si>
  <si>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</si>
  <si>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</si>
  <si>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</si>
  <si>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</si>
  <si>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</si>
  <si>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</si>
  <si>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</si>
  <si>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</si>
  <si>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</si>
  <si>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</si>
  <si>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</si>
  <si>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</si>
  <si>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</si>
  <si>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</si>
  <si>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</si>
  <si>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</si>
  <si>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</si>
  <si>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</si>
  <si>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</si>
  <si>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</si>
  <si>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</si>
  <si>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</si>
  <si>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</si>
  <si>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</si>
  <si>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</si>
  <si>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</si>
  <si>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</si>
  <si>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</si>
  <si>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</si>
  <si>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</si>
  <si>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</si>
  <si>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</si>
  <si>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</si>
  <si>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</si>
  <si>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</si>
  <si>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</si>
  <si>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</si>
  <si>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</si>
  <si>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</si>
  <si>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</si>
  <si>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</si>
  <si>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</si>
  <si>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</si>
  <si>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</si>
  <si>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</si>
  <si>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</si>
  <si>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</si>
  <si>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</si>
  <si>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</si>
  <si>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</si>
  <si>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</si>
  <si>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</si>
  <si>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</si>
  <si>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</si>
  <si>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</si>
  <si>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</si>
  <si>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</si>
  <si>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</si>
  <si>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</si>
  <si>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</si>
  <si>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</si>
  <si>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</si>
  <si>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</si>
  <si>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</si>
  <si>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</si>
  <si>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</si>
  <si>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</si>
  <si>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</si>
  <si>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</si>
  <si>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</si>
  <si>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</si>
  <si>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</si>
  <si>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</si>
  <si>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</si>
  <si>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</si>
  <si>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</si>
  <si>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</si>
  <si>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</si>
  <si>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</si>
  <si>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</si>
  <si>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</si>
  <si>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</si>
  <si>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</si>
  <si>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</si>
  <si>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</si>
  <si>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</si>
  <si>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</si>
  <si>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</si>
  <si>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</si>
  <si>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</si>
  <si>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</si>
  <si>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</si>
  <si>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</si>
  <si>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</si>
  <si>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</si>
  <si>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</si>
  <si>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</si>
  <si>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</si>
  <si>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</si>
  <si>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</si>
  <si>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</si>
  <si>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</si>
  <si>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</si>
  <si>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</si>
  <si>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</si>
  <si>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</si>
  <si>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</si>
  <si>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</si>
  <si>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</si>
  <si>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</si>
  <si>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</si>
  <si>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</si>
  <si>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</si>
  <si>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</si>
  <si>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</si>
  <si>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</si>
  <si>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</si>
  <si>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</si>
  <si>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</si>
  <si>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</si>
  <si>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</si>
  <si>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</si>
  <si>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</si>
  <si>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</si>
  <si>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</si>
  <si>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</si>
  <si>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</si>
  <si>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</si>
  <si>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</si>
  <si>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</si>
  <si>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</si>
  <si>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</si>
  <si>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</si>
  <si>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</si>
  <si>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</si>
  <si>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</si>
  <si>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</si>
  <si>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</si>
  <si>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</si>
  <si>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</si>
  <si>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</si>
  <si>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</si>
  <si>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</si>
  <si>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</si>
  <si>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</si>
  <si>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</si>
  <si>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</si>
  <si>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</si>
  <si>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</si>
  <si>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</si>
  <si>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</si>
  <si>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</si>
  <si>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</si>
  <si>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</si>
  <si>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</si>
  <si>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</si>
  <si>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</si>
  <si>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</si>
  <si>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</si>
  <si>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</si>
  <si>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</si>
  <si>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</si>
  <si>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</si>
  <si>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</si>
  <si>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</si>
  <si>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</si>
  <si>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</si>
  <si>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</si>
  <si>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</si>
  <si>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</si>
  <si>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</si>
  <si>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</si>
  <si>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</si>
  <si>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</si>
  <si>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</si>
  <si>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</si>
  <si>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</si>
  <si>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</si>
  <si>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</si>
  <si>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</si>
  <si>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</si>
  <si>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</si>
  <si>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</si>
  <si>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</si>
  <si>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</si>
  <si>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</si>
  <si>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</si>
  <si>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</si>
  <si>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</si>
  <si>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</si>
  <si>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</si>
  <si>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</si>
  <si>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</si>
  <si>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</si>
  <si>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</si>
  <si>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</si>
  <si>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</si>
  <si>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</si>
  <si>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</si>
  <si>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</si>
  <si>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</si>
  <si>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</si>
  <si>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</si>
  <si>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</si>
  <si>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</si>
  <si>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</si>
  <si>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</si>
  <si>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</si>
  <si>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</si>
  <si>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</si>
  <si>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</si>
  <si>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</si>
  <si>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</si>
  <si>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</si>
  <si>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</si>
  <si>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</si>
  <si>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</si>
  <si>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</si>
  <si>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</si>
  <si>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</si>
  <si>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</si>
  <si>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</si>
  <si>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</si>
  <si>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</si>
  <si>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</si>
  <si>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</si>
  <si>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</si>
  <si>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</si>
  <si>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</si>
  <si>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</si>
  <si>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</si>
  <si>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</si>
  <si>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</si>
  <si>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</si>
  <si>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</si>
  <si>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</si>
  <si>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</si>
  <si>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</si>
  <si>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</si>
  <si>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</si>
  <si>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</si>
  <si>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</si>
  <si>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</si>
  <si>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</si>
  <si>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</si>
  <si>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</si>
  <si>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</si>
  <si>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</si>
  <si>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</si>
  <si>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</si>
  <si>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</si>
  <si>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</si>
  <si>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</si>
  <si>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</si>
  <si>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</si>
  <si>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</si>
  <si>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</si>
  <si>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</si>
  <si>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</si>
  <si>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</si>
  <si>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</si>
  <si>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</si>
  <si>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</si>
  <si>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</si>
  <si>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</si>
  <si>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</si>
  <si>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</si>
  <si>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</si>
  <si>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</si>
  <si>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</si>
  <si>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</si>
  <si>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</si>
  <si>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</si>
  <si>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</si>
  <si>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</si>
  <si>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</si>
  <si>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</si>
  <si>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</si>
  <si>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</si>
  <si>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</si>
  <si>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</si>
  <si>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</si>
  <si>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</si>
  <si>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</si>
  <si>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</si>
  <si>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</si>
  <si>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</si>
  <si>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</si>
  <si>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</si>
  <si>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</si>
  <si>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</si>
  <si>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</si>
  <si>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</si>
  <si>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</si>
  <si>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</si>
  <si>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</si>
  <si>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</si>
  <si>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</si>
  <si>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</si>
  <si>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</si>
  <si>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</si>
  <si>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</si>
  <si>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</si>
  <si>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</si>
  <si>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</si>
  <si>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</si>
  <si>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</si>
  <si>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</si>
  <si>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</si>
  <si>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</si>
  <si>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</si>
  <si>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</si>
  <si>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</si>
  <si>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</si>
  <si>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</si>
  <si>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</si>
  <si>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</si>
  <si>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</si>
  <si>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</si>
  <si>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</si>
  <si>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</si>
  <si>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</si>
  <si>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</si>
  <si>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</si>
  <si>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</si>
  <si>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</si>
  <si>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</si>
  <si>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</si>
  <si>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</si>
  <si>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</si>
  <si>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</si>
  <si>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</si>
  <si>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</si>
  <si>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</si>
  <si>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</si>
  <si>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</si>
  <si>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</si>
  <si>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</si>
  <si>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</si>
  <si>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</si>
  <si>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</si>
  <si>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</si>
  <si>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</si>
  <si>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</si>
  <si>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</si>
  <si>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</si>
  <si>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</si>
  <si>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</si>
  <si>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</si>
  <si>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</si>
  <si>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</si>
  <si>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</si>
  <si>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</si>
  <si>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</si>
  <si>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</si>
  <si>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</si>
  <si>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</si>
  <si>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</si>
  <si>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</si>
  <si>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</si>
  <si>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</si>
  <si>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</si>
  <si>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</si>
  <si>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</si>
  <si>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</si>
  <si>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</si>
  <si>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</si>
  <si>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</si>
  <si>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</si>
  <si>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</si>
  <si>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</si>
  <si>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</si>
  <si>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</si>
  <si>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</si>
  <si>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</si>
  <si>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</si>
  <si>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</si>
  <si>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</si>
  <si>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</si>
  <si>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</si>
  <si>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</si>
  <si>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</si>
  <si>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</si>
  <si>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</si>
  <si>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</si>
  <si>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</si>
  <si>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</si>
  <si>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</si>
  <si>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</si>
  <si>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</si>
  <si>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</si>
  <si>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</si>
  <si>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</si>
  <si>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</si>
  <si>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</si>
  <si>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</si>
  <si>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</si>
  <si>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</si>
  <si>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</si>
  <si>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</si>
  <si>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</si>
  <si>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</si>
  <si>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</si>
  <si>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</si>
  <si>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</si>
  <si>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</si>
  <si>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</si>
  <si>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</si>
  <si>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</si>
  <si>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</si>
  <si>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</si>
  <si>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</si>
  <si>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</si>
  <si>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</si>
  <si>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</si>
  <si>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</si>
  <si>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</si>
  <si>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</si>
  <si>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</si>
  <si>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</si>
  <si>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</si>
  <si>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</si>
  <si>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</si>
  <si>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</si>
  <si>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</si>
  <si>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</si>
  <si>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</si>
  <si>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</si>
  <si>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</si>
  <si>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</si>
  <si>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</si>
  <si>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</si>
  <si>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</si>
  <si>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</si>
  <si>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</si>
  <si>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</si>
  <si>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</si>
  <si>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</si>
  <si>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</si>
  <si>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</si>
  <si>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</si>
  <si>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</si>
  <si>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</si>
  <si>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</si>
  <si>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</si>
  <si>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</si>
  <si>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</si>
  <si>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</si>
  <si>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</si>
  <si>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</si>
  <si>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</si>
  <si>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</si>
  <si>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</si>
  <si>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</si>
  <si>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</si>
  <si>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</si>
  <si>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</si>
  <si>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</si>
  <si>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</si>
  <si>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</si>
  <si>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</si>
  <si>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</si>
  <si>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</si>
  <si>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</si>
  <si>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</si>
  <si>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</si>
  <si>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</si>
  <si>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</si>
  <si>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</si>
  <si>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</si>
  <si>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</si>
  <si>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</si>
  <si>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</si>
  <si>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</si>
  <si>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</si>
  <si>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</si>
  <si>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</si>
  <si>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</si>
  <si>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</si>
  <si>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</si>
  <si>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</si>
  <si>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</si>
  <si>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</si>
  <si>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</si>
  <si>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</si>
  <si>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</si>
  <si>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</si>
  <si>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</si>
  <si>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</si>
  <si>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</si>
  <si>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</si>
  <si>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</si>
  <si>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</si>
  <si>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</si>
  <si>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</si>
  <si>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</si>
  <si>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</si>
  <si>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</si>
  <si>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</si>
  <si>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</si>
  <si>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</si>
  <si>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</si>
  <si>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</si>
  <si>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</si>
  <si>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</si>
  <si>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</si>
  <si>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</si>
  <si>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</si>
  <si>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</si>
  <si>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</si>
  <si>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</si>
  <si>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</si>
  <si>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</si>
  <si>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</si>
  <si>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</si>
  <si>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</si>
  <si>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</si>
  <si>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</si>
  <si>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</si>
  <si>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</si>
  <si>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</si>
  <si>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</si>
  <si>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</si>
  <si>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</si>
  <si>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</si>
  <si>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</si>
  <si>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</si>
  <si>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</si>
  <si>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</si>
  <si>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</si>
  <si>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</si>
  <si>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</si>
  <si>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</si>
  <si>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</si>
  <si>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</si>
  <si>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</si>
  <si>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</si>
  <si>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</si>
  <si>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</si>
  <si>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</si>
  <si>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</si>
  <si>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</si>
  <si>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</si>
  <si>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</si>
  <si>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</si>
  <si>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</si>
  <si>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</si>
  <si>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</si>
  <si>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</si>
  <si>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</si>
  <si>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</si>
  <si>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</si>
  <si>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</si>
  <si>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</si>
  <si>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</si>
  <si>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</si>
  <si>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</si>
  <si>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</si>
  <si>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</si>
  <si>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</si>
  <si>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</si>
  <si>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</si>
  <si>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</si>
  <si>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</si>
  <si>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</si>
  <si>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</si>
  <si>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</si>
  <si>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</si>
  <si>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</si>
  <si>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</si>
  <si>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</si>
  <si>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</si>
  <si>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</si>
  <si>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</si>
  <si>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</si>
  <si>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</si>
  <si>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</si>
  <si>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</si>
  <si>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</si>
  <si>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</si>
  <si>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</si>
  <si>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</si>
  <si>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</si>
  <si>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</si>
  <si>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</si>
  <si>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</si>
  <si>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</si>
  <si>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</si>
  <si>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</si>
  <si>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</si>
  <si>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</si>
  <si>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</si>
  <si>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</si>
  <si>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</si>
  <si>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</si>
  <si>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</si>
  <si>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</si>
  <si>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</si>
  <si>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</si>
  <si>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>В.Владимирова</t>
  </si>
  <si>
    <t xml:space="preserve">                                    Съставител:В.Владимирова</t>
  </si>
  <si>
    <t>Отчетен период: 31.12.2013 г.</t>
  </si>
  <si>
    <t>Отчетен период:   31.12.2013 г.</t>
  </si>
  <si>
    <t>Отчетен период:  31.12.2013 г.</t>
  </si>
  <si>
    <t>4. Албена Инвест Холдинг АД</t>
  </si>
  <si>
    <t>1. ЗПАД България АД</t>
  </si>
  <si>
    <t>2. Химко Враца АД</t>
  </si>
  <si>
    <t xml:space="preserve">23.04.2014 г. </t>
  </si>
  <si>
    <t xml:space="preserve">                Дата  на съставяне: 23.04.2014 г.</t>
  </si>
  <si>
    <t xml:space="preserve">Отчетен период: 31.12.2013 г. </t>
  </si>
  <si>
    <t xml:space="preserve">Дата на съставяне:  23.04.2014                  </t>
  </si>
  <si>
    <t>24.04.2014 г.</t>
  </si>
  <si>
    <t>Дата на съставяне: 24.04.2014 г.</t>
  </si>
  <si>
    <r>
      <t xml:space="preserve">Отчетен период:    31.12.2014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</si>
  <si>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24</t>
    </r>
    <r>
      <rPr>
        <sz val="10"/>
        <rFont val="Times New Roman"/>
        <family val="1"/>
      </rPr>
      <t>.04.2014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</si>
</sst>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880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62407</v>
      </c>
      <c r="D11" s="222">
        <v>61771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286808</v>
      </c>
      <c r="D12" s="222">
        <v>281791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46937</v>
      </c>
      <c r="D14" s="222">
        <v>41827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1535</v>
      </c>
      <c r="D15" s="222">
        <v>1720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3174</v>
      </c>
      <c r="D16" s="222">
        <v>3094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20841</v>
      </c>
      <c r="D17" s="222">
        <v>22817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421702</v>
      </c>
      <c r="D19" s="226">
        <f>SUM(D11:D18)</f>
        <v>413020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11423</v>
      </c>
      <c r="D20" s="222">
        <v>10738</v>
      </c>
      <c r="E20" s="317" t="s">
        <v>54</v>
      </c>
      <c r="F20" s="322" t="s">
        <v>55</v>
      </c>
      <c r="G20" s="223">
        <v>86932</v>
      </c>
      <c r="H20" s="223">
        <v>85394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208397</v>
      </c>
      <c r="H21" s="227">
        <f>SUM(H22:H24)</f>
        <v>207922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2947</v>
      </c>
      <c r="H22" s="223">
        <v>2060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870</v>
      </c>
      <c r="D24" s="222">
        <v>460</v>
      </c>
      <c r="E24" s="317" t="s">
        <v>69</v>
      </c>
      <c r="F24" s="322" t="s">
        <v>70</v>
      </c>
      <c r="G24" s="223">
        <v>205450</v>
      </c>
      <c r="H24" s="223">
        <v>205862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295329</v>
      </c>
      <c r="H25" s="225">
        <f>H19+H20+H21</f>
        <v>293316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1439</v>
      </c>
      <c r="D26" s="222">
        <v>1346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2309</v>
      </c>
      <c r="D27" s="226">
        <f>SUM(D23:D26)</f>
        <v>1806</v>
      </c>
      <c r="E27" s="333" t="s">
        <v>80</v>
      </c>
      <c r="F27" s="322" t="s">
        <v>81</v>
      </c>
      <c r="G27" s="225">
        <f>SUM(G28:G30)</f>
        <v>53193</v>
      </c>
      <c r="H27" s="225">
        <f>SUM(H28:H30)</f>
        <v>41174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53193</v>
      </c>
      <c r="H28" s="223">
        <v>41174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14260</v>
      </c>
      <c r="H31" s="223">
        <v>15994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67453</v>
      </c>
      <c r="H33" s="225">
        <f>H27+H31+H32</f>
        <v>57168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6848</v>
      </c>
      <c r="D34" s="226">
        <f>SUM(D35:D38)</f>
        <v>6811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365519</v>
      </c>
      <c r="H36" s="225">
        <f>H25+H17+H33</f>
        <v>353221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6826</v>
      </c>
      <c r="D37" s="222">
        <v>6784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22</v>
      </c>
      <c r="D38" s="222">
        <v>27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9353</v>
      </c>
      <c r="H39" s="223">
        <v>6321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5512</v>
      </c>
      <c r="H43" s="223">
        <v>8312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f>46182+538</f>
        <v>46720</v>
      </c>
      <c r="H44" s="223">
        <v>55554</v>
      </c>
    </row>
    <row r="45" spans="1:15" ht="15">
      <c r="A45" s="315" t="s">
        <v>133</v>
      </c>
      <c r="B45" s="329" t="s">
        <v>134</v>
      </c>
      <c r="C45" s="226">
        <f>C34+C39+C44</f>
        <v>6848</v>
      </c>
      <c r="D45" s="226">
        <f>D34+D39+D44</f>
        <v>6811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f>464+404</f>
        <v>868</v>
      </c>
      <c r="H48" s="223">
        <v>1476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53100</v>
      </c>
      <c r="H49" s="225">
        <f>SUM(H43:H48)</f>
        <v>65342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92</v>
      </c>
      <c r="D50" s="222">
        <v>147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92</v>
      </c>
      <c r="D51" s="226">
        <f>SUM(D47:D50)</f>
        <v>147</v>
      </c>
      <c r="E51" s="331" t="s">
        <v>154</v>
      </c>
      <c r="F51" s="325" t="s">
        <v>155</v>
      </c>
      <c r="G51" s="223">
        <v>179</v>
      </c>
      <c r="H51" s="223">
        <v>38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15039</v>
      </c>
      <c r="H53" s="223">
        <v>15078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753</v>
      </c>
      <c r="H54" s="223"/>
    </row>
    <row r="55" spans="1:18" ht="25.5">
      <c r="A55" s="349" t="s">
        <v>167</v>
      </c>
      <c r="B55" s="350" t="s">
        <v>168</v>
      </c>
      <c r="C55" s="226">
        <f>C19+C20+C21+C27+C32+C45+C51+C53+C54</f>
        <v>459978</v>
      </c>
      <c r="D55" s="226">
        <f>D19+D20+D21+D27+D32+D45+D51+D53+D54</f>
        <v>450126</v>
      </c>
      <c r="E55" s="317" t="s">
        <v>169</v>
      </c>
      <c r="F55" s="341" t="s">
        <v>170</v>
      </c>
      <c r="G55" s="225">
        <f>G49+G51+G52+G53+G54</f>
        <v>69071</v>
      </c>
      <c r="H55" s="225">
        <f>H49+H51+H52+H53+H54</f>
        <v>80458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f>2967+87</f>
        <v>3054</v>
      </c>
      <c r="D58" s="222">
        <f>1830+194</f>
        <v>2024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991</v>
      </c>
      <c r="D59" s="222">
        <v>1673</v>
      </c>
      <c r="E59" s="331" t="s">
        <v>178</v>
      </c>
      <c r="F59" s="322" t="s">
        <v>179</v>
      </c>
      <c r="G59" s="223">
        <v>18182</v>
      </c>
      <c r="H59" s="223">
        <v>15330</v>
      </c>
      <c r="M59" s="228"/>
    </row>
    <row r="60" spans="1:8" ht="15">
      <c r="A60" s="315" t="s">
        <v>180</v>
      </c>
      <c r="B60" s="321" t="s">
        <v>181</v>
      </c>
      <c r="C60" s="222">
        <f>496+3227</f>
        <v>3723</v>
      </c>
      <c r="D60" s="222">
        <f>591+3392</f>
        <v>3983</v>
      </c>
      <c r="E60" s="317" t="s">
        <v>182</v>
      </c>
      <c r="F60" s="322" t="s">
        <v>183</v>
      </c>
      <c r="G60" s="223">
        <v>4370</v>
      </c>
      <c r="H60" s="223">
        <v>2524</v>
      </c>
    </row>
    <row r="61" spans="1:18" ht="15">
      <c r="A61" s="315" t="s">
        <v>184</v>
      </c>
      <c r="B61" s="324" t="s">
        <v>185</v>
      </c>
      <c r="C61" s="222">
        <v>3011</v>
      </c>
      <c r="D61" s="222">
        <v>1695</v>
      </c>
      <c r="E61" s="323" t="s">
        <v>186</v>
      </c>
      <c r="F61" s="352" t="s">
        <v>187</v>
      </c>
      <c r="G61" s="225">
        <f>SUM(G62:G68)</f>
        <v>11574</v>
      </c>
      <c r="H61" s="225">
        <f>SUM(H62:H68)</f>
        <v>8713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1605</v>
      </c>
      <c r="H62" s="223">
        <v>940</v>
      </c>
    </row>
    <row r="63" spans="1:13" ht="15">
      <c r="A63" s="315" t="s">
        <v>192</v>
      </c>
      <c r="B63" s="321" t="s">
        <v>193</v>
      </c>
      <c r="C63" s="222">
        <v>37</v>
      </c>
      <c r="D63" s="222">
        <v>80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10816</v>
      </c>
      <c r="D64" s="226">
        <f>SUM(D58:D63)</f>
        <v>9455</v>
      </c>
      <c r="E64" s="317" t="s">
        <v>197</v>
      </c>
      <c r="F64" s="322" t="s">
        <v>198</v>
      </c>
      <c r="G64" s="223">
        <v>5435</v>
      </c>
      <c r="H64" s="223">
        <v>3038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3104</v>
      </c>
      <c r="H65" s="223">
        <v>2543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705</v>
      </c>
      <c r="H66" s="223">
        <v>616</v>
      </c>
    </row>
    <row r="67" spans="1:8" ht="15">
      <c r="A67" s="315" t="s">
        <v>204</v>
      </c>
      <c r="B67" s="321" t="s">
        <v>205</v>
      </c>
      <c r="C67" s="222">
        <v>9</v>
      </c>
      <c r="D67" s="222">
        <v>19</v>
      </c>
      <c r="E67" s="317" t="s">
        <v>206</v>
      </c>
      <c r="F67" s="322" t="s">
        <v>207</v>
      </c>
      <c r="G67" s="223">
        <v>253</v>
      </c>
      <c r="H67" s="223">
        <v>264</v>
      </c>
    </row>
    <row r="68" spans="1:8" ht="15">
      <c r="A68" s="315" t="s">
        <v>208</v>
      </c>
      <c r="B68" s="321" t="s">
        <v>209</v>
      </c>
      <c r="C68" s="222">
        <v>2028</v>
      </c>
      <c r="D68" s="222">
        <v>1190</v>
      </c>
      <c r="E68" s="317" t="s">
        <v>210</v>
      </c>
      <c r="F68" s="322" t="s">
        <v>211</v>
      </c>
      <c r="G68" s="223">
        <v>472</v>
      </c>
      <c r="H68" s="223">
        <v>1312</v>
      </c>
    </row>
    <row r="69" spans="1:8" ht="15">
      <c r="A69" s="315" t="s">
        <v>212</v>
      </c>
      <c r="B69" s="321" t="s">
        <v>213</v>
      </c>
      <c r="C69" s="222">
        <v>634</v>
      </c>
      <c r="D69" s="222">
        <f>49+862</f>
        <v>911</v>
      </c>
      <c r="E69" s="331" t="s">
        <v>75</v>
      </c>
      <c r="F69" s="322" t="s">
        <v>214</v>
      </c>
      <c r="G69" s="223">
        <v>213</v>
      </c>
      <c r="H69" s="223">
        <v>606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107</v>
      </c>
      <c r="D71" s="222">
        <v>815</v>
      </c>
      <c r="E71" s="333" t="s">
        <v>43</v>
      </c>
      <c r="F71" s="353" t="s">
        <v>221</v>
      </c>
      <c r="G71" s="232">
        <f>G59+G60+G61+G69+G70</f>
        <v>34339</v>
      </c>
      <c r="H71" s="232">
        <f>H59+H60+H61+H69+H70</f>
        <v>27173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f>355+64</f>
        <v>419</v>
      </c>
      <c r="D72" s="222">
        <f>28+309</f>
        <v>337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f>55+294+637</f>
        <v>986</v>
      </c>
      <c r="D74" s="222">
        <f>61+665+471</f>
        <v>1197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4183</v>
      </c>
      <c r="D75" s="226">
        <f>SUM(D67:D74)</f>
        <v>4469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80</v>
      </c>
      <c r="H76" s="223">
        <v>419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34419</v>
      </c>
      <c r="H79" s="233">
        <f>H71+H74+H75+H76</f>
        <v>27592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52</v>
      </c>
      <c r="D87" s="222">
        <v>67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3134</v>
      </c>
      <c r="D88" s="222">
        <v>3385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199</v>
      </c>
      <c r="D89" s="222">
        <v>90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3385</v>
      </c>
      <c r="D91" s="226">
        <f>SUM(D87:D90)</f>
        <v>3542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18384</v>
      </c>
      <c r="D93" s="226">
        <f>D64+D75+D84+D91+D92</f>
        <v>17466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478362</v>
      </c>
      <c r="D94" s="235">
        <f>D93+D55</f>
        <v>467592</v>
      </c>
      <c r="E94" s="370" t="s">
        <v>267</v>
      </c>
      <c r="F94" s="371" t="s">
        <v>268</v>
      </c>
      <c r="G94" s="236">
        <f>G36+G39+G55+G79</f>
        <v>478362</v>
      </c>
      <c r="H94" s="236">
        <f>H36+H39+H55+H79</f>
        <v>467592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903</v>
      </c>
      <c r="B100" s="244"/>
      <c r="C100" s="588" t="s">
        <v>895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8" sqref="C38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898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15291</v>
      </c>
      <c r="D9" s="92">
        <v>14572</v>
      </c>
      <c r="E9" s="393" t="s">
        <v>282</v>
      </c>
      <c r="F9" s="395" t="s">
        <v>283</v>
      </c>
      <c r="G9" s="101">
        <v>4598</v>
      </c>
      <c r="H9" s="101">
        <v>4669</v>
      </c>
    </row>
    <row r="10" spans="1:8" ht="12">
      <c r="A10" s="393" t="s">
        <v>284</v>
      </c>
      <c r="B10" s="394" t="s">
        <v>285</v>
      </c>
      <c r="C10" s="92">
        <v>18747</v>
      </c>
      <c r="D10" s="92">
        <v>16438</v>
      </c>
      <c r="E10" s="393" t="s">
        <v>286</v>
      </c>
      <c r="F10" s="395" t="s">
        <v>287</v>
      </c>
      <c r="G10" s="101">
        <v>41564</v>
      </c>
      <c r="H10" s="101">
        <v>42847</v>
      </c>
    </row>
    <row r="11" spans="1:8" ht="12">
      <c r="A11" s="393" t="s">
        <v>288</v>
      </c>
      <c r="B11" s="394" t="s">
        <v>289</v>
      </c>
      <c r="C11" s="92">
        <v>14413</v>
      </c>
      <c r="D11" s="92">
        <v>15285</v>
      </c>
      <c r="E11" s="396" t="s">
        <v>290</v>
      </c>
      <c r="F11" s="395" t="s">
        <v>291</v>
      </c>
      <c r="G11" s="101">
        <v>51929</v>
      </c>
      <c r="H11" s="101">
        <v>43088</v>
      </c>
    </row>
    <row r="12" spans="1:8" ht="12">
      <c r="A12" s="393" t="s">
        <v>292</v>
      </c>
      <c r="B12" s="394" t="s">
        <v>293</v>
      </c>
      <c r="C12" s="92">
        <v>17803</v>
      </c>
      <c r="D12" s="92">
        <v>15701</v>
      </c>
      <c r="E12" s="396" t="s">
        <v>75</v>
      </c>
      <c r="F12" s="395" t="s">
        <v>294</v>
      </c>
      <c r="G12" s="101">
        <v>8201</v>
      </c>
      <c r="H12" s="101">
        <v>10234</v>
      </c>
    </row>
    <row r="13" spans="1:18" ht="12">
      <c r="A13" s="393" t="s">
        <v>295</v>
      </c>
      <c r="B13" s="394" t="s">
        <v>296</v>
      </c>
      <c r="C13" s="92">
        <v>3773</v>
      </c>
      <c r="D13" s="92">
        <v>3029</v>
      </c>
      <c r="E13" s="397" t="s">
        <v>48</v>
      </c>
      <c r="F13" s="398" t="s">
        <v>297</v>
      </c>
      <c r="G13" s="102">
        <f>SUM(G9:G12)</f>
        <v>106292</v>
      </c>
      <c r="H13" s="102">
        <f>SUM(H9:H12)</f>
        <v>100838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16587</v>
      </c>
      <c r="D14" s="92">
        <v>14123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783</v>
      </c>
      <c r="D15" s="93">
        <v>-1172</v>
      </c>
      <c r="E15" s="391" t="s">
        <v>302</v>
      </c>
      <c r="F15" s="400" t="s">
        <v>303</v>
      </c>
      <c r="G15" s="101">
        <v>1062</v>
      </c>
      <c r="H15" s="101">
        <v>606</v>
      </c>
    </row>
    <row r="16" spans="1:8" ht="12">
      <c r="A16" s="393" t="s">
        <v>304</v>
      </c>
      <c r="B16" s="394" t="s">
        <v>305</v>
      </c>
      <c r="C16" s="93">
        <v>2610</v>
      </c>
      <c r="D16" s="93">
        <v>3661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90007</v>
      </c>
      <c r="D19" s="95">
        <f>SUM(D9:D15)+D16</f>
        <v>81637</v>
      </c>
      <c r="E19" s="403" t="s">
        <v>314</v>
      </c>
      <c r="F19" s="399" t="s">
        <v>315</v>
      </c>
      <c r="G19" s="101">
        <v>24</v>
      </c>
      <c r="H19" s="101">
        <v>50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142</v>
      </c>
      <c r="H20" s="101">
        <v>181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2423</v>
      </c>
      <c r="D22" s="92">
        <v>2419</v>
      </c>
      <c r="E22" s="403" t="s">
        <v>323</v>
      </c>
      <c r="F22" s="399" t="s">
        <v>324</v>
      </c>
      <c r="G22" s="101">
        <v>544</v>
      </c>
      <c r="H22" s="101">
        <v>506</v>
      </c>
    </row>
    <row r="23" spans="1:8" ht="24">
      <c r="A23" s="393" t="s">
        <v>325</v>
      </c>
      <c r="B23" s="405" t="s">
        <v>326</v>
      </c>
      <c r="C23" s="92">
        <v>5</v>
      </c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19</v>
      </c>
      <c r="D24" s="92">
        <v>14</v>
      </c>
      <c r="E24" s="397" t="s">
        <v>100</v>
      </c>
      <c r="F24" s="400" t="s">
        <v>331</v>
      </c>
      <c r="G24" s="102">
        <f>SUM(G19:G23)</f>
        <v>710</v>
      </c>
      <c r="H24" s="102">
        <f>SUM(H19:H23)</f>
        <v>737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204</v>
      </c>
      <c r="D25" s="92">
        <v>213</v>
      </c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2651</v>
      </c>
      <c r="D26" s="95">
        <f>SUM(D22:D25)</f>
        <v>2646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92658</v>
      </c>
      <c r="D28" s="96">
        <f>D26+D19</f>
        <v>84283</v>
      </c>
      <c r="E28" s="190" t="s">
        <v>336</v>
      </c>
      <c r="F28" s="400" t="s">
        <v>337</v>
      </c>
      <c r="G28" s="102">
        <f>G13+G15+G24</f>
        <v>108064</v>
      </c>
      <c r="H28" s="102">
        <f>H13+H15+H24</f>
        <v>102181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15406</v>
      </c>
      <c r="D30" s="96">
        <f>IF((H28-D28)&gt;0,H28-D28,IF((H28-D28)=0,0,0))</f>
        <v>17898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>
        <v>42</v>
      </c>
      <c r="H31" s="101">
        <v>88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92658</v>
      </c>
      <c r="D33" s="95">
        <f>D28+D31+D32</f>
        <v>84283</v>
      </c>
      <c r="E33" s="190" t="s">
        <v>351</v>
      </c>
      <c r="F33" s="400" t="s">
        <v>352</v>
      </c>
      <c r="G33" s="104">
        <f>G32+G31+G28</f>
        <v>108106</v>
      </c>
      <c r="H33" s="104">
        <f>H32+H31+H28</f>
        <v>102269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15448</v>
      </c>
      <c r="D34" s="96">
        <f>IF((H33-D33)&gt;0,H33-D33,0)</f>
        <v>17986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1381</v>
      </c>
      <c r="D35" s="95">
        <f>D36+D37+D38</f>
        <v>2038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1421</v>
      </c>
      <c r="D36" s="92">
        <v>1987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-40</v>
      </c>
      <c r="D37" s="601">
        <v>51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14067</v>
      </c>
      <c r="D39" s="98">
        <f>IF((D34-D35)&gt;0,D34-D35,0)</f>
        <v>15948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193</v>
      </c>
      <c r="H40" s="101">
        <v>46</v>
      </c>
    </row>
    <row r="41" spans="1:18" ht="12">
      <c r="A41" s="190" t="s">
        <v>372</v>
      </c>
      <c r="B41" s="386" t="s">
        <v>373</v>
      </c>
      <c r="C41" s="99">
        <f>C39-C40</f>
        <v>14067</v>
      </c>
      <c r="D41" s="99">
        <f>D39-D40</f>
        <v>15948</v>
      </c>
      <c r="E41" s="190" t="s">
        <v>374</v>
      </c>
      <c r="F41" s="191" t="s">
        <v>375</v>
      </c>
      <c r="G41" s="104">
        <f>G39-G40</f>
        <v>-193</v>
      </c>
      <c r="H41" s="104">
        <f>H39-H40</f>
        <v>-46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108106</v>
      </c>
      <c r="D42" s="100">
        <f>D33+D35+D39</f>
        <v>102269</v>
      </c>
      <c r="E42" s="193" t="s">
        <v>378</v>
      </c>
      <c r="F42" s="194" t="s">
        <v>379</v>
      </c>
      <c r="G42" s="104">
        <f>G39+G33</f>
        <v>108106</v>
      </c>
      <c r="H42" s="104">
        <f>H39+H33</f>
        <v>102269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895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8" sqref="C48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899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110990</v>
      </c>
      <c r="D10" s="106">
        <v>106040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-54315</v>
      </c>
      <c r="D11" s="106">
        <v>-51470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-20257</v>
      </c>
      <c r="D13" s="106">
        <v>-17625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-3267</v>
      </c>
      <c r="D14" s="106">
        <v>-4141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-2261</v>
      </c>
      <c r="D15" s="106">
        <v>-948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-6</v>
      </c>
      <c r="D16" s="106">
        <v>6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-155</v>
      </c>
      <c r="D17" s="106">
        <v>-160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19</v>
      </c>
      <c r="D18" s="106">
        <v>39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-15</v>
      </c>
      <c r="D19" s="106">
        <v>-1147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30733</v>
      </c>
      <c r="D20" s="107">
        <f>SUM(D10:D19)</f>
        <v>30594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-21185</v>
      </c>
      <c r="D22" s="106">
        <v>-7876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819</v>
      </c>
      <c r="D23" s="106">
        <v>247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-88</v>
      </c>
      <c r="D24" s="106">
        <v>-14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15</v>
      </c>
      <c r="D25" s="106">
        <v>21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41</v>
      </c>
      <c r="D29" s="106">
        <v>79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-20398</v>
      </c>
      <c r="D32" s="107">
        <f>SUM(D22:D31)</f>
        <v>-7543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641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11543</v>
      </c>
      <c r="D36" s="106">
        <v>268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-17351</v>
      </c>
      <c r="D37" s="106">
        <v>-17730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-458</v>
      </c>
      <c r="D38" s="106">
        <v>-246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-2584</v>
      </c>
      <c r="D39" s="106">
        <v>-2199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-2575</v>
      </c>
      <c r="D40" s="106">
        <v>-1280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382</v>
      </c>
      <c r="D41" s="106">
        <v>697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-10402</v>
      </c>
      <c r="D42" s="107">
        <f>SUM(D34:D41)</f>
        <v>-20490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-67</v>
      </c>
      <c r="D43" s="107">
        <f>D42+D32+D20</f>
        <v>2561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3452</v>
      </c>
      <c r="D44" s="200">
        <v>891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3385</v>
      </c>
      <c r="D45" s="107">
        <f>D44+D43</f>
        <v>3452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3186</v>
      </c>
      <c r="D46" s="108">
        <v>3542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199</v>
      </c>
      <c r="D47" s="108">
        <v>90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877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898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85394</v>
      </c>
      <c r="F11" s="110">
        <f>'справка №1-БАЛАНС'!H22</f>
        <v>2060</v>
      </c>
      <c r="G11" s="110">
        <f>'справка №1-БАЛАНС'!H23</f>
        <v>0</v>
      </c>
      <c r="H11" s="112">
        <v>205862</v>
      </c>
      <c r="I11" s="110">
        <f>'справка №1-БАЛАНС'!H28+'справка №1-БАЛАНС'!H31</f>
        <v>57168</v>
      </c>
      <c r="J11" s="110">
        <f>'справка №1-БАЛАНС'!H29+'справка №1-БАЛАНС'!H32</f>
        <v>0</v>
      </c>
      <c r="K11" s="112"/>
      <c r="L11" s="457">
        <f>SUM(C11:K11)</f>
        <v>353221</v>
      </c>
      <c r="M11" s="110">
        <f>'справка №1-БАЛАНС'!H39</f>
        <v>6321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85394</v>
      </c>
      <c r="F15" s="113">
        <f t="shared" si="2"/>
        <v>2060</v>
      </c>
      <c r="G15" s="113">
        <f t="shared" si="2"/>
        <v>0</v>
      </c>
      <c r="H15" s="113">
        <f t="shared" si="2"/>
        <v>205862</v>
      </c>
      <c r="I15" s="113">
        <f t="shared" si="2"/>
        <v>57168</v>
      </c>
      <c r="J15" s="113">
        <f t="shared" si="2"/>
        <v>0</v>
      </c>
      <c r="K15" s="113">
        <f t="shared" si="2"/>
        <v>0</v>
      </c>
      <c r="L15" s="457">
        <f t="shared" si="1"/>
        <v>353221</v>
      </c>
      <c r="M15" s="113">
        <f t="shared" si="2"/>
        <v>6321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14260</v>
      </c>
      <c r="J16" s="458">
        <f>+'справка №1-БАЛАНС'!G32</f>
        <v>0</v>
      </c>
      <c r="K16" s="112"/>
      <c r="L16" s="457">
        <f t="shared" si="1"/>
        <v>14260</v>
      </c>
      <c r="M16" s="112">
        <v>-193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887</v>
      </c>
      <c r="G17" s="114">
        <f t="shared" si="3"/>
        <v>0</v>
      </c>
      <c r="H17" s="114">
        <f t="shared" si="3"/>
        <v>0</v>
      </c>
      <c r="I17" s="114">
        <f t="shared" si="3"/>
        <v>-3996</v>
      </c>
      <c r="J17" s="114">
        <f>J18+J19</f>
        <v>0</v>
      </c>
      <c r="K17" s="114">
        <f t="shared" si="3"/>
        <v>0</v>
      </c>
      <c r="L17" s="457">
        <f t="shared" si="1"/>
        <v>-3109</v>
      </c>
      <c r="M17" s="114">
        <f>M18+M19</f>
        <v>-17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-3109</v>
      </c>
      <c r="J18" s="112"/>
      <c r="K18" s="112"/>
      <c r="L18" s="457">
        <f t="shared" si="1"/>
        <v>-3109</v>
      </c>
      <c r="M18" s="112">
        <v>-17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887</v>
      </c>
      <c r="G19" s="112"/>
      <c r="H19" s="112"/>
      <c r="I19" s="112">
        <v>-887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1538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1538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>
        <v>1538</v>
      </c>
      <c r="F22" s="257"/>
      <c r="G22" s="257"/>
      <c r="H22" s="257"/>
      <c r="I22" s="257"/>
      <c r="J22" s="257"/>
      <c r="K22" s="257"/>
      <c r="L22" s="457">
        <f t="shared" si="1"/>
        <v>1538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-412</v>
      </c>
      <c r="I28" s="112">
        <v>21</v>
      </c>
      <c r="J28" s="112"/>
      <c r="K28" s="112"/>
      <c r="L28" s="457">
        <f t="shared" si="1"/>
        <v>-391</v>
      </c>
      <c r="M28" s="112">
        <v>3242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86932</v>
      </c>
      <c r="F29" s="111">
        <f t="shared" si="6"/>
        <v>2947</v>
      </c>
      <c r="G29" s="111">
        <f t="shared" si="6"/>
        <v>0</v>
      </c>
      <c r="H29" s="111">
        <f t="shared" si="6"/>
        <v>205450</v>
      </c>
      <c r="I29" s="111">
        <f t="shared" si="6"/>
        <v>67453</v>
      </c>
      <c r="J29" s="111">
        <f>J11+J17+J20+J21+J24+J28+J27+J16</f>
        <v>0</v>
      </c>
      <c r="K29" s="111">
        <f t="shared" si="6"/>
        <v>0</v>
      </c>
      <c r="L29" s="457">
        <f t="shared" si="1"/>
        <v>365519</v>
      </c>
      <c r="M29" s="111">
        <f>M11+M17+M20+M21+M24+M28+M27+M16</f>
        <v>9353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86932</v>
      </c>
      <c r="F32" s="111">
        <f t="shared" si="7"/>
        <v>2947</v>
      </c>
      <c r="G32" s="111">
        <f t="shared" si="7"/>
        <v>0</v>
      </c>
      <c r="H32" s="111">
        <f t="shared" si="7"/>
        <v>205450</v>
      </c>
      <c r="I32" s="111">
        <f t="shared" si="7"/>
        <v>67453</v>
      </c>
      <c r="J32" s="111">
        <f t="shared" si="7"/>
        <v>0</v>
      </c>
      <c r="K32" s="111">
        <f t="shared" si="7"/>
        <v>0</v>
      </c>
      <c r="L32" s="457">
        <f t="shared" si="1"/>
        <v>365519</v>
      </c>
      <c r="M32" s="111">
        <f>M29+M30+M31</f>
        <v>9353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904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895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905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61771</v>
      </c>
      <c r="E9" s="261">
        <v>763</v>
      </c>
      <c r="F9" s="261">
        <v>127</v>
      </c>
      <c r="G9" s="127">
        <f>D9+E9-F9</f>
        <v>62407</v>
      </c>
      <c r="H9" s="117"/>
      <c r="I9" s="117"/>
      <c r="J9" s="127">
        <f>G9+H9-I9</f>
        <v>62407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62407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309097</v>
      </c>
      <c r="E10" s="261">
        <v>10421</v>
      </c>
      <c r="F10" s="261">
        <v>56</v>
      </c>
      <c r="G10" s="127">
        <f aca="true" t="shared" si="2" ref="G10:G40">D10+E10-F10</f>
        <v>319462</v>
      </c>
      <c r="H10" s="117">
        <v>1581</v>
      </c>
      <c r="I10" s="117"/>
      <c r="J10" s="127">
        <f aca="true" t="shared" si="3" ref="J10:J40">G10+H10-I10</f>
        <v>321043</v>
      </c>
      <c r="K10" s="117">
        <v>27306</v>
      </c>
      <c r="L10" s="117">
        <v>6929</v>
      </c>
      <c r="M10" s="117"/>
      <c r="N10" s="127">
        <f>K10+L10-M10</f>
        <v>34235</v>
      </c>
      <c r="O10" s="117"/>
      <c r="P10" s="117"/>
      <c r="Q10" s="127">
        <f t="shared" si="0"/>
        <v>34235</v>
      </c>
      <c r="R10" s="127">
        <f t="shared" si="1"/>
        <v>286808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101188</v>
      </c>
      <c r="E11" s="261">
        <v>10060</v>
      </c>
      <c r="F11" s="261">
        <v>850</v>
      </c>
      <c r="G11" s="127">
        <f t="shared" si="2"/>
        <v>110398</v>
      </c>
      <c r="H11" s="117"/>
      <c r="I11" s="117"/>
      <c r="J11" s="127">
        <f t="shared" si="3"/>
        <v>110398</v>
      </c>
      <c r="K11" s="117">
        <v>59361</v>
      </c>
      <c r="L11" s="117">
        <v>4841</v>
      </c>
      <c r="M11" s="117">
        <v>741</v>
      </c>
      <c r="N11" s="127">
        <f aca="true" t="shared" si="4" ref="N11:N40">K11+L11-M11</f>
        <v>63461</v>
      </c>
      <c r="O11" s="117"/>
      <c r="P11" s="117"/>
      <c r="Q11" s="127">
        <f t="shared" si="0"/>
        <v>63461</v>
      </c>
      <c r="R11" s="127">
        <f t="shared" si="1"/>
        <v>46937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6346</v>
      </c>
      <c r="E13" s="261">
        <v>372</v>
      </c>
      <c r="F13" s="261">
        <v>40</v>
      </c>
      <c r="G13" s="127">
        <f t="shared" si="2"/>
        <v>6678</v>
      </c>
      <c r="H13" s="117"/>
      <c r="I13" s="117"/>
      <c r="J13" s="127">
        <f t="shared" si="3"/>
        <v>6678</v>
      </c>
      <c r="K13" s="117">
        <v>4626</v>
      </c>
      <c r="L13" s="117">
        <v>545</v>
      </c>
      <c r="M13" s="117">
        <v>28</v>
      </c>
      <c r="N13" s="127">
        <f t="shared" si="4"/>
        <v>5143</v>
      </c>
      <c r="O13" s="117"/>
      <c r="P13" s="117"/>
      <c r="Q13" s="127">
        <f t="shared" si="0"/>
        <v>5143</v>
      </c>
      <c r="R13" s="127">
        <f t="shared" si="1"/>
        <v>1535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30595</v>
      </c>
      <c r="E14" s="612">
        <v>1889</v>
      </c>
      <c r="F14" s="612">
        <v>354</v>
      </c>
      <c r="G14" s="127">
        <f t="shared" si="2"/>
        <v>32130</v>
      </c>
      <c r="H14" s="117"/>
      <c r="I14" s="117"/>
      <c r="J14" s="127">
        <f t="shared" si="3"/>
        <v>32130</v>
      </c>
      <c r="K14" s="117">
        <v>27501</v>
      </c>
      <c r="L14" s="117">
        <v>1806</v>
      </c>
      <c r="M14" s="117">
        <v>351</v>
      </c>
      <c r="N14" s="127">
        <f t="shared" si="4"/>
        <v>28956</v>
      </c>
      <c r="O14" s="117"/>
      <c r="P14" s="117"/>
      <c r="Q14" s="127">
        <f t="shared" si="0"/>
        <v>28956</v>
      </c>
      <c r="R14" s="127">
        <f t="shared" si="1"/>
        <v>3174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22817</v>
      </c>
      <c r="E15" s="261">
        <v>22990</v>
      </c>
      <c r="F15" s="261">
        <v>24966</v>
      </c>
      <c r="G15" s="127">
        <f t="shared" si="2"/>
        <v>20841</v>
      </c>
      <c r="H15" s="117"/>
      <c r="I15" s="117"/>
      <c r="J15" s="127">
        <f t="shared" si="3"/>
        <v>20841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20841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531814</v>
      </c>
      <c r="E17" s="266">
        <f aca="true" t="shared" si="7" ref="E17:P17">SUM(E9:E16)</f>
        <v>46495</v>
      </c>
      <c r="F17" s="266">
        <f t="shared" si="7"/>
        <v>26393</v>
      </c>
      <c r="G17" s="127">
        <f t="shared" si="2"/>
        <v>551916</v>
      </c>
      <c r="H17" s="128">
        <f t="shared" si="7"/>
        <v>1581</v>
      </c>
      <c r="I17" s="128">
        <f t="shared" si="7"/>
        <v>0</v>
      </c>
      <c r="J17" s="127">
        <f t="shared" si="3"/>
        <v>553497</v>
      </c>
      <c r="K17" s="128">
        <f>SUM(K9:K16)</f>
        <v>118794</v>
      </c>
      <c r="L17" s="128">
        <f>SUM(L9:L16)</f>
        <v>14121</v>
      </c>
      <c r="M17" s="128">
        <f t="shared" si="7"/>
        <v>1120</v>
      </c>
      <c r="N17" s="127">
        <f t="shared" si="4"/>
        <v>131795</v>
      </c>
      <c r="O17" s="128">
        <f t="shared" si="7"/>
        <v>0</v>
      </c>
      <c r="P17" s="128">
        <f t="shared" si="7"/>
        <v>0</v>
      </c>
      <c r="Q17" s="127">
        <f t="shared" si="5"/>
        <v>131795</v>
      </c>
      <c r="R17" s="127">
        <f t="shared" si="6"/>
        <v>421702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10738</v>
      </c>
      <c r="E18" s="259">
        <v>1061</v>
      </c>
      <c r="F18" s="259">
        <v>247</v>
      </c>
      <c r="G18" s="127">
        <f t="shared" si="2"/>
        <v>11552</v>
      </c>
      <c r="H18" s="115">
        <v>119</v>
      </c>
      <c r="I18" s="115">
        <v>248</v>
      </c>
      <c r="J18" s="127">
        <f t="shared" si="3"/>
        <v>11423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11423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2627</v>
      </c>
      <c r="E22" s="261">
        <v>561</v>
      </c>
      <c r="F22" s="261">
        <v>17</v>
      </c>
      <c r="G22" s="127">
        <f t="shared" si="2"/>
        <v>3171</v>
      </c>
      <c r="H22" s="117"/>
      <c r="I22" s="117"/>
      <c r="J22" s="127">
        <f t="shared" si="3"/>
        <v>3171</v>
      </c>
      <c r="K22" s="117">
        <v>2167</v>
      </c>
      <c r="L22" s="117">
        <v>151</v>
      </c>
      <c r="M22" s="117">
        <v>17</v>
      </c>
      <c r="N22" s="127">
        <f t="shared" si="4"/>
        <v>2301</v>
      </c>
      <c r="O22" s="117"/>
      <c r="P22" s="117"/>
      <c r="Q22" s="127">
        <f t="shared" si="5"/>
        <v>2301</v>
      </c>
      <c r="R22" s="127">
        <f t="shared" si="6"/>
        <v>870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2621</v>
      </c>
      <c r="E24" s="261">
        <v>581</v>
      </c>
      <c r="F24" s="261">
        <v>347</v>
      </c>
      <c r="G24" s="127">
        <f t="shared" si="2"/>
        <v>2855</v>
      </c>
      <c r="H24" s="117"/>
      <c r="I24" s="117"/>
      <c r="J24" s="127">
        <f t="shared" si="3"/>
        <v>2855</v>
      </c>
      <c r="K24" s="117">
        <v>1275</v>
      </c>
      <c r="L24" s="117">
        <v>141</v>
      </c>
      <c r="M24" s="117"/>
      <c r="N24" s="127">
        <f t="shared" si="4"/>
        <v>1416</v>
      </c>
      <c r="O24" s="117"/>
      <c r="P24" s="117"/>
      <c r="Q24" s="127">
        <f t="shared" si="5"/>
        <v>1416</v>
      </c>
      <c r="R24" s="127">
        <f t="shared" si="6"/>
        <v>1439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5248</v>
      </c>
      <c r="E25" s="262">
        <f aca="true" t="shared" si="8" ref="E25:P25">SUM(E21:E24)</f>
        <v>1142</v>
      </c>
      <c r="F25" s="262">
        <f t="shared" si="8"/>
        <v>364</v>
      </c>
      <c r="G25" s="119">
        <f t="shared" si="2"/>
        <v>6026</v>
      </c>
      <c r="H25" s="118">
        <f t="shared" si="8"/>
        <v>0</v>
      </c>
      <c r="I25" s="118">
        <f t="shared" si="8"/>
        <v>0</v>
      </c>
      <c r="J25" s="119">
        <f t="shared" si="3"/>
        <v>6026</v>
      </c>
      <c r="K25" s="118">
        <f t="shared" si="8"/>
        <v>3442</v>
      </c>
      <c r="L25" s="118">
        <f t="shared" si="8"/>
        <v>292</v>
      </c>
      <c r="M25" s="118">
        <f t="shared" si="8"/>
        <v>17</v>
      </c>
      <c r="N25" s="119">
        <f t="shared" si="4"/>
        <v>3717</v>
      </c>
      <c r="O25" s="118">
        <f t="shared" si="8"/>
        <v>0</v>
      </c>
      <c r="P25" s="118">
        <f t="shared" si="8"/>
        <v>0</v>
      </c>
      <c r="Q25" s="119">
        <f t="shared" si="5"/>
        <v>3717</v>
      </c>
      <c r="R25" s="119">
        <f t="shared" si="6"/>
        <v>2309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6811</v>
      </c>
      <c r="E27" s="264">
        <f aca="true" t="shared" si="9" ref="E27:P27">SUM(E28:E31)</f>
        <v>82</v>
      </c>
      <c r="F27" s="264">
        <f t="shared" si="9"/>
        <v>45</v>
      </c>
      <c r="G27" s="124">
        <f t="shared" si="2"/>
        <v>6848</v>
      </c>
      <c r="H27" s="123">
        <f t="shared" si="9"/>
        <v>0</v>
      </c>
      <c r="I27" s="123">
        <f t="shared" si="9"/>
        <v>0</v>
      </c>
      <c r="J27" s="124">
        <f t="shared" si="3"/>
        <v>6848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6848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6784</v>
      </c>
      <c r="E30" s="261">
        <v>82</v>
      </c>
      <c r="F30" s="261">
        <v>40</v>
      </c>
      <c r="G30" s="127">
        <f t="shared" si="2"/>
        <v>6826</v>
      </c>
      <c r="H30" s="125"/>
      <c r="I30" s="125"/>
      <c r="J30" s="127">
        <f t="shared" si="3"/>
        <v>6826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6826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27</v>
      </c>
      <c r="E31" s="261"/>
      <c r="F31" s="261">
        <v>5</v>
      </c>
      <c r="G31" s="127">
        <f t="shared" si="2"/>
        <v>22</v>
      </c>
      <c r="H31" s="125"/>
      <c r="I31" s="125"/>
      <c r="J31" s="127">
        <f t="shared" si="3"/>
        <v>22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6811</v>
      </c>
      <c r="E38" s="266">
        <f aca="true" t="shared" si="13" ref="E38:P38">E27+E32+E37</f>
        <v>82</v>
      </c>
      <c r="F38" s="266">
        <f t="shared" si="13"/>
        <v>45</v>
      </c>
      <c r="G38" s="127">
        <f t="shared" si="2"/>
        <v>6848</v>
      </c>
      <c r="H38" s="128">
        <f t="shared" si="13"/>
        <v>0</v>
      </c>
      <c r="I38" s="128">
        <f t="shared" si="13"/>
        <v>0</v>
      </c>
      <c r="J38" s="127">
        <f t="shared" si="3"/>
        <v>6848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6848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561477</v>
      </c>
      <c r="E40" s="508">
        <f aca="true" t="shared" si="14" ref="E40:P40">E17++E25+E38+E39</f>
        <v>47719</v>
      </c>
      <c r="F40" s="508">
        <f t="shared" si="14"/>
        <v>26802</v>
      </c>
      <c r="G40" s="127">
        <f t="shared" si="2"/>
        <v>582394</v>
      </c>
      <c r="H40" s="483">
        <f t="shared" si="14"/>
        <v>1581</v>
      </c>
      <c r="I40" s="483">
        <f t="shared" si="14"/>
        <v>0</v>
      </c>
      <c r="J40" s="127">
        <f t="shared" si="3"/>
        <v>583975</v>
      </c>
      <c r="K40" s="483">
        <f t="shared" si="14"/>
        <v>122236</v>
      </c>
      <c r="L40" s="483">
        <f t="shared" si="14"/>
        <v>14413</v>
      </c>
      <c r="M40" s="483">
        <f t="shared" si="14"/>
        <v>1137</v>
      </c>
      <c r="N40" s="127">
        <f t="shared" si="4"/>
        <v>135512</v>
      </c>
      <c r="O40" s="483">
        <f t="shared" si="14"/>
        <v>0</v>
      </c>
      <c r="P40" s="483">
        <f t="shared" si="14"/>
        <v>0</v>
      </c>
      <c r="Q40" s="127">
        <f t="shared" si="10"/>
        <v>135512</v>
      </c>
      <c r="R40" s="127">
        <f t="shared" si="11"/>
        <v>448463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906</v>
      </c>
      <c r="C44" s="478"/>
      <c r="D44" s="479"/>
      <c r="E44" s="479"/>
      <c r="F44" s="479"/>
      <c r="G44" s="469"/>
      <c r="H44" s="480" t="s">
        <v>896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92</v>
      </c>
      <c r="D16" s="181">
        <f>+D17+D18</f>
        <v>0</v>
      </c>
      <c r="E16" s="182">
        <f t="shared" si="0"/>
        <v>92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92</v>
      </c>
      <c r="D18" s="169"/>
      <c r="E18" s="182">
        <f t="shared" si="0"/>
        <v>92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92</v>
      </c>
      <c r="D19" s="165">
        <f>D11+D15+D16</f>
        <v>0</v>
      </c>
      <c r="E19" s="180">
        <f>E11+E15+E16</f>
        <v>92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9</v>
      </c>
      <c r="D24" s="181">
        <f>SUM(D25:D27)</f>
        <v>9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9</v>
      </c>
      <c r="D26" s="169">
        <v>9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2028</v>
      </c>
      <c r="D28" s="169">
        <v>2028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634</v>
      </c>
      <c r="D29" s="169">
        <v>634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107</v>
      </c>
      <c r="D31" s="169">
        <v>107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419</v>
      </c>
      <c r="D33" s="166">
        <f>SUM(D34:D37)</f>
        <v>419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64</v>
      </c>
      <c r="D34" s="169">
        <v>64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355</v>
      </c>
      <c r="D35" s="169">
        <v>355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986</v>
      </c>
      <c r="D38" s="166">
        <f>SUM(D39:D42)</f>
        <v>986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986</v>
      </c>
      <c r="D42" s="169">
        <v>986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4183</v>
      </c>
      <c r="D43" s="165">
        <f>D24+D28+D29+D31+D30+D32+D33+D38</f>
        <v>4183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4275</v>
      </c>
      <c r="D44" s="164">
        <f>D43+D21+D19+D9</f>
        <v>4183</v>
      </c>
      <c r="E44" s="180">
        <f>E43+E21+E19+E9</f>
        <v>92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5512</v>
      </c>
      <c r="D52" s="164">
        <f>SUM(D53:D55)</f>
        <v>0</v>
      </c>
      <c r="E52" s="181">
        <f>C52-D52</f>
        <v>5512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5512</v>
      </c>
      <c r="D53" s="169"/>
      <c r="E53" s="181">
        <f>C53-D53</f>
        <v>5512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46720</v>
      </c>
      <c r="D56" s="164">
        <f>D57+D59</f>
        <v>0</v>
      </c>
      <c r="E56" s="181">
        <f t="shared" si="1"/>
        <v>46720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46720</v>
      </c>
      <c r="D57" s="169"/>
      <c r="E57" s="181">
        <f t="shared" si="1"/>
        <v>46720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868</v>
      </c>
      <c r="D64" s="169"/>
      <c r="E64" s="181">
        <f t="shared" si="1"/>
        <v>868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53100</v>
      </c>
      <c r="D66" s="164">
        <f>D52+D56+D61+D62+D63+D64</f>
        <v>0</v>
      </c>
      <c r="E66" s="181">
        <f t="shared" si="1"/>
        <v>53100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1605</v>
      </c>
      <c r="D71" s="166">
        <f>SUM(D72:D74)</f>
        <v>1605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489</v>
      </c>
      <c r="D72" s="169">
        <v>489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1116</v>
      </c>
      <c r="D73" s="169">
        <v>1116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18182</v>
      </c>
      <c r="D75" s="164">
        <f>D76+D78</f>
        <v>18182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18182</v>
      </c>
      <c r="D76" s="169">
        <v>18182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4370</v>
      </c>
      <c r="D80" s="164">
        <f>SUM(D81:D84)</f>
        <v>4370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4370</v>
      </c>
      <c r="D84" s="169">
        <v>4370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9969</v>
      </c>
      <c r="D85" s="165">
        <f>SUM(D86:D90)+D94</f>
        <v>9969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5435</v>
      </c>
      <c r="D87" s="169">
        <v>5435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3104</v>
      </c>
      <c r="D88" s="169">
        <v>3104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705</v>
      </c>
      <c r="D89" s="169">
        <v>705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472</v>
      </c>
      <c r="D90" s="164">
        <f>SUM(D91:D93)</f>
        <v>472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146</v>
      </c>
      <c r="D91" s="169">
        <v>146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326</v>
      </c>
      <c r="D92" s="169">
        <v>326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253</v>
      </c>
      <c r="D94" s="169">
        <v>253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213</v>
      </c>
      <c r="D95" s="169">
        <v>213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34339</v>
      </c>
      <c r="D96" s="165">
        <f>D85+D80+D75+D71+D95</f>
        <v>34339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87439</v>
      </c>
      <c r="D97" s="165">
        <f>D96+D68+D66</f>
        <v>34339</v>
      </c>
      <c r="E97" s="165">
        <f>E96+E68+E66</f>
        <v>53100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907</v>
      </c>
      <c r="B110" s="516"/>
      <c r="C110" s="515"/>
      <c r="D110" s="588" t="s">
        <v>895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899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6848</v>
      </c>
      <c r="G12" s="156"/>
      <c r="H12" s="156"/>
      <c r="I12" s="142">
        <f aca="true" t="shared" si="0" ref="I12:I25">F12+G12+H12</f>
        <v>6848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6848</v>
      </c>
      <c r="G17" s="269">
        <f t="shared" si="1"/>
        <v>0</v>
      </c>
      <c r="H17" s="269">
        <f t="shared" si="1"/>
        <v>0</v>
      </c>
      <c r="I17" s="269">
        <f t="shared" si="1"/>
        <v>6848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895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3">
      <selection activeCell="D15" sqref="D15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4">C13-E13</f>
        <v>6213</v>
      </c>
    </row>
    <row r="14" spans="1:6" ht="12.75">
      <c r="A14" s="77" t="s">
        <v>882</v>
      </c>
      <c r="B14" s="78"/>
      <c r="C14" s="605">
        <v>13509</v>
      </c>
      <c r="D14" s="606">
        <v>89.38</v>
      </c>
      <c r="E14" s="581"/>
      <c r="F14" s="597">
        <f t="shared" si="0"/>
        <v>13509</v>
      </c>
    </row>
    <row r="15" spans="1:6" ht="12.75">
      <c r="A15" s="77" t="s">
        <v>883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884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887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888</v>
      </c>
      <c r="B20" s="81"/>
      <c r="C20" s="605">
        <v>25627</v>
      </c>
      <c r="D20" s="606">
        <v>99.99</v>
      </c>
      <c r="E20" s="607">
        <v>22627</v>
      </c>
      <c r="F20" s="597">
        <f t="shared" si="0"/>
        <v>3000</v>
      </c>
    </row>
    <row r="21" spans="1:6" ht="12" customHeight="1">
      <c r="A21" s="77" t="s">
        <v>889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890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894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600">
        <f>SUM(C12:C24)</f>
        <v>98923.17</v>
      </c>
      <c r="D25" s="595"/>
      <c r="E25" s="613">
        <f>SUM(E12:E22)</f>
        <v>55079</v>
      </c>
      <c r="F25" s="614">
        <f>SUM(F12:F22)</f>
        <v>42922.17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878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879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892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 t="s">
        <v>900</v>
      </c>
      <c r="B47" s="81"/>
      <c r="C47" s="611">
        <v>1017</v>
      </c>
      <c r="D47" s="606">
        <v>7.39</v>
      </c>
      <c r="E47" s="611">
        <v>1017</v>
      </c>
      <c r="F47" s="597">
        <f>C47-E47</f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2108</v>
      </c>
      <c r="D57" s="595"/>
      <c r="E57" s="271">
        <f>SUM(E44:E56)</f>
        <v>1017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901</v>
      </c>
      <c r="B59" s="78"/>
      <c r="C59" s="605">
        <f>10000/1000</f>
        <v>10</v>
      </c>
      <c r="D59" s="606"/>
      <c r="E59" s="605"/>
      <c r="F59" s="597">
        <f>C59-E59</f>
        <v>10</v>
      </c>
    </row>
    <row r="60" spans="1:6" ht="12.75">
      <c r="A60" s="77" t="s">
        <v>902</v>
      </c>
      <c r="B60" s="81"/>
      <c r="C60" s="605">
        <v>1</v>
      </c>
      <c r="D60" s="605"/>
      <c r="E60" s="605"/>
      <c r="F60" s="597">
        <f>C60-E60</f>
        <v>1</v>
      </c>
    </row>
    <row r="61" spans="1:6" ht="12.75">
      <c r="A61" s="77" t="s">
        <v>363</v>
      </c>
      <c r="B61" s="81"/>
      <c r="C61" s="605">
        <v>11</v>
      </c>
      <c r="D61" s="605"/>
      <c r="E61" s="605"/>
      <c r="F61" s="597">
        <f>C61-E61</f>
        <v>11</v>
      </c>
    </row>
    <row r="62" spans="1:6" ht="12.75">
      <c r="A62" s="77"/>
      <c r="B62" s="78"/>
      <c r="C62" s="605"/>
      <c r="D62" s="594"/>
      <c r="E62" s="581"/>
      <c r="F62" s="597">
        <f>C62-E62</f>
        <v>0</v>
      </c>
    </row>
    <row r="63" spans="1:6" ht="12.75">
      <c r="A63" s="77"/>
      <c r="B63" s="78"/>
      <c r="C63" s="605"/>
      <c r="D63" s="594"/>
      <c r="E63" s="581"/>
      <c r="F63" s="597">
        <f aca="true" t="shared" si="3" ref="F63:F70">C63-E63</f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22</v>
      </c>
      <c r="D71" s="595"/>
      <c r="E71" s="271">
        <f>SUM(E59:E70)</f>
        <v>0</v>
      </c>
      <c r="F71" s="598">
        <f>SUM(F59:F70)</f>
        <v>22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101053.17</v>
      </c>
      <c r="D72" s="595"/>
      <c r="E72" s="271">
        <f>E71+E57+E42+E25</f>
        <v>56096</v>
      </c>
      <c r="F72" s="598">
        <f>F71+F57+F42+F25</f>
        <v>44035.17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873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872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891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910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895</v>
      </c>
      <c r="D145" s="88"/>
      <c r="E145" s="88" t="s">
        <v>874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59:F70 F47 C12:F24 C27:F41 C44:F46 C48:F56 D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2014-04-30T07:19:09Z</cp:lastPrinted>
  <dcterms:created xsi:type="dcterms:W3CDTF">2000-06-29T12:02:40Z</dcterms:created>
  <dcterms:modified xsi:type="dcterms:W3CDTF">2014-04-30T09:15:31Z</dcterms:modified>
  <cp:category/>
  <cp:version/>
  <cp:contentType/>
  <cp:contentStatus/>
</cp:coreProperties>
</file>