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activeTab="0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<sst xmlns="http://schemas.openxmlformats.org/spreadsheetml/2006/main" count="1068" uniqueCount="881">
  <si>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</si>
  <si>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</si>
  <si>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</si>
  <si>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</si>
  <si>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</si>
  <si>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</si>
  <si>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</si>
  <si>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</si>
  <si>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</si>
  <si>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</si>
  <si>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</si>
  <si>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</si>
  <si>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</si>
  <si>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</si>
  <si>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</si>
  <si>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</si>
  <si>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</si>
  <si>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</si>
  <si>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</si>
  <si>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</si>
  <si>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</si>
  <si>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</si>
  <si>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</si>
  <si>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</si>
  <si>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</si>
  <si>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</si>
  <si>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</si>
  <si>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</si>
  <si>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</si>
  <si>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</si>
  <si>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</si>
  <si>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</si>
  <si>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</si>
  <si>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</si>
  <si>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</si>
  <si>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</si>
  <si>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</si>
  <si>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</si>
  <si>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</si>
  <si>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</si>
  <si>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</si>
  <si>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</si>
  <si>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</si>
  <si>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</si>
  <si>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</si>
  <si>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</si>
  <si>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</si>
  <si>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</si>
  <si>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</si>
  <si>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</si>
  <si>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</si>
  <si>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</si>
  <si>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</si>
  <si>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</si>
  <si>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</si>
  <si>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</si>
  <si>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</si>
  <si>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</si>
  <si>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</si>
  <si>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</si>
  <si>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</si>
  <si>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</si>
  <si>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</si>
  <si>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</si>
  <si>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</si>
  <si>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</si>
  <si>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</si>
  <si>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</si>
  <si>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</si>
  <si>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</si>
  <si>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</si>
  <si>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</si>
  <si>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</si>
  <si>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</si>
  <si>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</si>
  <si>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</si>
  <si>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</si>
  <si>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</si>
  <si>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</si>
  <si>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</si>
  <si>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</si>
  <si>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</si>
  <si>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</si>
  <si>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</si>
  <si>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</si>
  <si>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</si>
  <si>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</si>
  <si>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</si>
  <si>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</si>
  <si>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</si>
  <si>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</si>
  <si>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</si>
  <si>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</si>
  <si>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</si>
  <si>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</si>
  <si>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</si>
  <si>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</si>
  <si>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</si>
  <si>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</si>
  <si>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</si>
  <si>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</si>
  <si>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</si>
  <si>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</si>
  <si>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</si>
  <si>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</si>
  <si>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</si>
  <si>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</si>
  <si>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</si>
  <si>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</si>
  <si>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</si>
  <si>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</si>
  <si>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</si>
  <si>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</si>
  <si>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</si>
  <si>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</si>
  <si>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</si>
  <si>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</si>
  <si>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</si>
  <si>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</si>
  <si>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</si>
  <si>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</si>
  <si>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</si>
  <si>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</si>
  <si>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</si>
  <si>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</si>
  <si>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</si>
  <si>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</si>
  <si>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</si>
  <si>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</si>
  <si>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</si>
  <si>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</si>
  <si>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</si>
  <si>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</si>
  <si>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</si>
  <si>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</si>
  <si>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</si>
  <si>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</si>
  <si>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</si>
  <si>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</si>
  <si>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</si>
  <si>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</si>
  <si>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</si>
  <si>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</si>
  <si>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</si>
  <si>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</si>
  <si>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</si>
  <si>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</si>
  <si>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</si>
  <si>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</si>
  <si>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</si>
  <si>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</si>
  <si>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</si>
  <si>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</si>
  <si>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</si>
  <si>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</si>
  <si>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</si>
  <si>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</si>
  <si>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</si>
  <si>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</si>
  <si>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</si>
  <si>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</si>
  <si>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</si>
  <si>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</si>
  <si>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</si>
  <si>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</si>
  <si>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</si>
  <si>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</si>
  <si>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</si>
  <si>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</si>
  <si>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</si>
  <si>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</si>
  <si>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</si>
  <si>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</si>
  <si>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</si>
  <si>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</si>
  <si>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</si>
  <si>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</si>
  <si>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</si>
  <si>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</si>
  <si>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</si>
  <si>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</si>
  <si>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</si>
  <si>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</si>
  <si>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</si>
  <si>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</si>
  <si>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</si>
  <si>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</si>
  <si>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</si>
  <si>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</si>
  <si>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</si>
  <si>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</si>
  <si>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</si>
  <si>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</si>
  <si>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</si>
  <si>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</si>
  <si>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</si>
  <si>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</si>
  <si>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</si>
  <si>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</si>
  <si>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</si>
  <si>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</si>
  <si>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</si>
  <si>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</si>
  <si>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</si>
  <si>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</si>
  <si>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</si>
  <si>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</si>
  <si>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</si>
  <si>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</si>
  <si>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</si>
  <si>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</si>
  <si>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</si>
  <si>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</si>
  <si>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</si>
  <si>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</si>
  <si>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</si>
  <si>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</si>
  <si>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</si>
  <si>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</si>
  <si>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</si>
  <si>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</si>
  <si>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</si>
  <si>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</si>
  <si>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</si>
  <si>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</si>
  <si>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</si>
  <si>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</si>
  <si>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</si>
  <si>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</si>
  <si>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</si>
  <si>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</si>
  <si>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</si>
  <si>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</si>
  <si>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</si>
  <si>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</si>
  <si>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</si>
  <si>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</si>
  <si>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</si>
  <si>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</si>
  <si>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</si>
  <si>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</si>
  <si>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</si>
  <si>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</si>
  <si>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</si>
  <si>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</si>
  <si>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</si>
  <si>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</si>
  <si>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</si>
  <si>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</si>
  <si>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</si>
  <si>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</si>
  <si>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</si>
  <si>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</si>
  <si>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</si>
  <si>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</si>
  <si>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</si>
  <si>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</si>
  <si>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</si>
  <si>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</si>
  <si>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</si>
  <si>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</si>
  <si>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</si>
  <si>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</si>
  <si>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</si>
  <si>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</si>
  <si>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</si>
  <si>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</si>
  <si>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</si>
  <si>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</si>
  <si>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</si>
  <si>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</si>
  <si>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</si>
  <si>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</si>
  <si>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</si>
  <si>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</si>
  <si>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</si>
  <si>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</si>
  <si>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</si>
  <si>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</si>
  <si>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</si>
  <si>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</si>
  <si>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</si>
  <si>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</si>
  <si>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</si>
  <si>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</si>
  <si>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</si>
  <si>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</si>
  <si>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</si>
  <si>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</si>
  <si>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</si>
  <si>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</si>
  <si>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</si>
  <si>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</si>
  <si>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</si>
  <si>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</si>
  <si>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</si>
  <si>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</si>
  <si>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</si>
  <si>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</si>
  <si>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</si>
  <si>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</si>
  <si>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</si>
  <si>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</si>
  <si>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</si>
  <si>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</si>
  <si>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</si>
  <si>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</si>
  <si>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</si>
  <si>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</si>
  <si>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</si>
  <si>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</si>
  <si>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</si>
  <si>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</si>
  <si>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</si>
  <si>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</si>
  <si>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</si>
  <si>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</si>
  <si>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</si>
  <si>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</si>
  <si>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</si>
  <si>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</si>
  <si>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</si>
  <si>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</si>
  <si>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</si>
  <si>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</si>
  <si>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</si>
  <si>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</si>
  <si>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</si>
  <si>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</si>
  <si>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</si>
  <si>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</si>
  <si>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</si>
  <si>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</si>
  <si>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</si>
  <si>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</si>
  <si>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</si>
  <si>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</si>
  <si>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</si>
  <si>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</si>
  <si>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</si>
  <si>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</si>
  <si>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</si>
  <si>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</si>
  <si>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</si>
  <si>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</si>
  <si>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</si>
  <si>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</si>
  <si>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</si>
  <si>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</si>
  <si>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</si>
  <si>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</si>
  <si>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</si>
  <si>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</si>
  <si>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</si>
  <si>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</si>
  <si>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</si>
  <si>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</si>
  <si>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</si>
  <si>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</si>
  <si>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</si>
  <si>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</si>
  <si>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</si>
  <si>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</si>
  <si>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</si>
  <si>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</si>
  <si>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</si>
  <si>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</si>
  <si>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</si>
  <si>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</si>
  <si>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</si>
  <si>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</si>
  <si>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</si>
  <si>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</si>
  <si>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</si>
  <si>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</si>
  <si>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</si>
  <si>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</si>
  <si>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</si>
  <si>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</si>
  <si>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</si>
  <si>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</si>
  <si>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</si>
  <si>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</si>
  <si>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</si>
  <si>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</si>
  <si>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</si>
  <si>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</si>
  <si>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</si>
  <si>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</si>
  <si>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</si>
  <si>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</si>
  <si>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</si>
  <si>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</si>
  <si>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</si>
  <si>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</si>
  <si>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</si>
  <si>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</si>
  <si>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</si>
  <si>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</si>
  <si>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</si>
  <si>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</si>
  <si>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</si>
  <si>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</si>
  <si>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</si>
  <si>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</si>
  <si>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</si>
  <si>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</si>
  <si>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</si>
  <si>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</si>
  <si>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</si>
  <si>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</si>
  <si>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</si>
  <si>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</si>
  <si>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</si>
  <si>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</si>
  <si>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</si>
  <si>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</si>
  <si>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</si>
  <si>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</si>
  <si>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</si>
  <si>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</si>
  <si>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</si>
  <si>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</si>
  <si>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</si>
  <si>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</si>
  <si>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</si>
  <si>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</si>
  <si>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</si>
  <si>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</si>
  <si>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</si>
  <si>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</si>
  <si>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</si>
  <si>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</si>
  <si>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</si>
  <si>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</si>
  <si>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</si>
  <si>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</si>
  <si>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</si>
  <si>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</si>
  <si>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</si>
  <si>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</si>
  <si>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</si>
  <si>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</si>
  <si>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</si>
  <si>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</si>
  <si>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</si>
  <si>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</si>
  <si>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</si>
  <si>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</si>
  <si>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</si>
  <si>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</si>
  <si>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</si>
  <si>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</si>
  <si>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</si>
  <si>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</si>
  <si>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</si>
  <si>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</si>
  <si>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</si>
  <si>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</si>
  <si>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</si>
  <si>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</si>
  <si>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</si>
  <si>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</si>
  <si>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</si>
  <si>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</si>
  <si>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</si>
  <si>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</si>
  <si>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</si>
  <si>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</si>
  <si>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</si>
  <si>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</si>
  <si>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</si>
  <si>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</si>
  <si>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</si>
  <si>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</si>
  <si>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</si>
  <si>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</si>
  <si>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</si>
  <si>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</si>
  <si>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</si>
  <si>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</si>
  <si>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</si>
  <si>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</si>
  <si>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</si>
  <si>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</si>
  <si>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</si>
  <si>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</si>
  <si>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</si>
  <si>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</si>
  <si>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</si>
  <si>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</si>
  <si>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</si>
  <si>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</si>
  <si>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</si>
  <si>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</si>
  <si>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</si>
  <si>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</si>
  <si>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</si>
  <si>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</si>
  <si>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</si>
  <si>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</si>
  <si>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</si>
  <si>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</si>
  <si>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</si>
  <si>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</si>
  <si>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</si>
  <si>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</si>
  <si>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</si>
  <si>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</si>
  <si>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</si>
  <si>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</si>
  <si>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</si>
  <si>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</si>
  <si>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</si>
  <si>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</si>
  <si>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</si>
  <si>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</si>
  <si>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</si>
  <si>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</si>
  <si>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</si>
  <si>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</si>
  <si>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</si>
  <si>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</si>
  <si>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</si>
  <si>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</si>
  <si>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</si>
  <si>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</si>
  <si>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</si>
  <si>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</si>
  <si>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</si>
  <si>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</si>
  <si>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</si>
  <si>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</si>
  <si>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</si>
  <si>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</si>
  <si>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</si>
  <si>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</si>
  <si>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</si>
  <si>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</si>
  <si>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</si>
  <si>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</si>
  <si>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</si>
  <si>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</si>
  <si>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</si>
  <si>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</si>
  <si>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</si>
  <si>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</si>
  <si>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</si>
  <si>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</si>
  <si>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</si>
  <si>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</si>
  <si>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</si>
  <si>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</si>
  <si>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</si>
  <si>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</si>
  <si>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</si>
  <si>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</si>
  <si>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</si>
  <si>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</si>
  <si>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</si>
  <si>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</si>
  <si>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</si>
  <si>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</si>
  <si>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</si>
  <si>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</si>
  <si>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</si>
  <si>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</si>
  <si>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</si>
  <si>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</si>
  <si>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</si>
  <si>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</si>
  <si>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</si>
  <si>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</si>
  <si>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</si>
  <si>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</si>
  <si>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</si>
  <si>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</si>
  <si>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</si>
  <si>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</si>
  <si>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</si>
  <si>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</si>
  <si>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</si>
  <si>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</si>
  <si>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</si>
  <si>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</si>
  <si>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</si>
  <si>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</si>
  <si>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</si>
  <si>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</si>
  <si>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</si>
  <si>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</si>
  <si>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</si>
  <si>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</si>
  <si>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</si>
  <si>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</si>
  <si>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</si>
  <si>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</si>
  <si>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</si>
  <si>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</si>
  <si>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</si>
  <si>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</si>
  <si>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</si>
  <si>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</si>
  <si>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</si>
  <si>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</si>
  <si>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</si>
  <si>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</si>
  <si>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</si>
  <si>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</si>
  <si>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</si>
  <si>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</si>
  <si>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</si>
  <si>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</si>
  <si>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</si>
  <si>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</si>
  <si>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</si>
  <si>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</si>
  <si>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</si>
  <si>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</si>
  <si>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</si>
  <si>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</si>
  <si>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</si>
  <si>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</si>
  <si>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</si>
  <si>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</si>
  <si>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</si>
  <si>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</si>
  <si>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</si>
  <si>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</si>
  <si>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</si>
  <si>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</si>
  <si>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</si>
  <si>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</si>
  <si>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</si>
  <si>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</si>
  <si>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</si>
  <si>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</si>
  <si>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</si>
  <si>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</si>
  <si>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</si>
  <si>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</si>
  <si>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</si>
  <si>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</si>
  <si>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</si>
  <si>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</si>
  <si>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</si>
  <si>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</si>
  <si>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</si>
  <si>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</si>
  <si>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</si>
  <si>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</si>
  <si>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</si>
  <si>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</si>
  <si>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</si>
  <si>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</si>
  <si>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</si>
  <si>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</si>
  <si>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</si>
  <si>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</si>
  <si>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</si>
  <si>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</si>
  <si>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</si>
  <si>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</si>
  <si>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</si>
  <si>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</si>
  <si>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</si>
  <si>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</si>
  <si>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</si>
  <si>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</si>
  <si>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</si>
  <si>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</si>
  <si>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</si>
  <si>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</si>
  <si>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</si>
  <si>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</si>
  <si>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</si>
  <si>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</si>
  <si>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</si>
  <si>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</si>
  <si>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</si>
  <si>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</si>
  <si>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</si>
  <si>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</si>
  <si>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</si>
  <si>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</si>
  <si>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</si>
  <si>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</si>
  <si>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</si>
  <si>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</si>
  <si>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</si>
  <si>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</si>
  <si>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</si>
  <si>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</si>
  <si>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</si>
  <si>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</si>
  <si>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</si>
  <si>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</si>
  <si>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</si>
  <si>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</si>
  <si>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</si>
  <si>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</si>
  <si>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</si>
  <si>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</si>
  <si>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</si>
  <si>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</si>
  <si>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</si>
  <si>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</si>
  <si>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</si>
  <si>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</si>
  <si>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</si>
  <si>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</si>
  <si>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</si>
  <si>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</si>
  <si>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</si>
  <si>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</si>
  <si>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</si>
  <si>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</si>
  <si>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</si>
  <si>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</si>
  <si>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</si>
  <si>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</si>
  <si>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</si>
  <si>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</si>
  <si>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</si>
  <si>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</si>
  <si>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</si>
  <si>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</si>
  <si>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</si>
  <si>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</si>
  <si>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</si>
  <si>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</si>
  <si>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</si>
  <si>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</si>
  <si>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</si>
  <si>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</si>
  <si>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</si>
  <si>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</si>
  <si>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</si>
  <si>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</si>
  <si>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</si>
  <si>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</si>
  <si>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</si>
  <si>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</si>
  <si>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</si>
  <si>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</si>
  <si>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</si>
  <si>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</si>
  <si>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</si>
  <si>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</si>
  <si>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</si>
  <si>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</si>
  <si>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</si>
  <si>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</si>
  <si>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</si>
  <si>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</si>
  <si>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</si>
  <si>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</si>
  <si>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</si>
  <si>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</si>
  <si>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</si>
  <si>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</si>
  <si>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</si>
  <si>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</si>
  <si>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</si>
  <si>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</si>
  <si>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</si>
  <si>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</si>
  <si>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</si>
  <si>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</si>
  <si>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</si>
  <si>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</si>
  <si>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</si>
  <si>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</si>
  <si>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</si>
  <si>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</si>
  <si>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</si>
  <si>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</si>
  <si>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</si>
  <si>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</si>
  <si>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</si>
  <si>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</si>
  <si>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</si>
  <si>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</si>
  <si>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</si>
  <si>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</si>
  <si>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</si>
  <si>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</si>
  <si>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</si>
  <si>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</si>
  <si>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</si>
  <si>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</si>
  <si>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</si>
  <si>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</si>
  <si>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</si>
  <si>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</si>
  <si>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</si>
  <si>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</si>
  <si>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</si>
  <si>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</si>
  <si>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</si>
  <si>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</si>
  <si>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</si>
  <si>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</si>
  <si>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</si>
  <si>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</si>
  <si>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</si>
  <si>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</si>
  <si>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</si>
  <si>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</si>
  <si>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</si>
  <si>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</si>
  <si>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</si>
  <si>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</si>
  <si>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</si>
  <si>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</si>
  <si>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</si>
  <si>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</si>
  <si>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</si>
  <si>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</si>
  <si>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</si>
  <si>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</si>
  <si>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</si>
  <si>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</si>
  <si>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</si>
  <si>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</si>
  <si>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</si>
  <si>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</si>
  <si>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</si>
  <si>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</si>
  <si>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</si>
  <si>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</si>
  <si>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</si>
  <si>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</si>
  <si>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</si>
  <si>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</si>
  <si>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</si>
  <si>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</si>
  <si>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</si>
  <si>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</si>
  <si>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</si>
  <si>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</si>
  <si>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</si>
  <si>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</si>
  <si>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</si>
  <si>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</si>
  <si>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</si>
  <si>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</si>
  <si>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</si>
  <si>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</si>
  <si>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</si>
  <si>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</si>
  <si>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</si>
  <si>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</si>
  <si>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</si>
  <si>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</si>
  <si>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</si>
  <si>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</si>
  <si>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</si>
  <si>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</si>
  <si>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</si>
  <si>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</si>
  <si>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</si>
  <si>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Ръководител: Е.Топалов</t>
  </si>
  <si>
    <t xml:space="preserve"> Ръководител: Е.Топалов</t>
  </si>
  <si>
    <t>Ръководител:Е.Топалов</t>
  </si>
  <si>
    <t>лихва  по отпуснат заем на Винпром АД</t>
  </si>
  <si>
    <t xml:space="preserve"> от 01/01/2008</t>
  </si>
  <si>
    <t>до 31/03/2008</t>
  </si>
  <si>
    <t xml:space="preserve">дневна лихва </t>
  </si>
  <si>
    <t xml:space="preserve">за периода </t>
  </si>
  <si>
    <t xml:space="preserve">до първи гратисен период да се направи договор 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</si>
  <si>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</si>
  <si>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</si>
  <si>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</si>
  <si>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период:31.12.2015</t>
  </si>
  <si>
    <t>Дата на съставяне:19.03.2016</t>
  </si>
  <si>
    <t xml:space="preserve">Дата на съставяне:19/03/2016                             </t>
  </si>
  <si>
    <t xml:space="preserve">Дата  на съставяне: 19.03.2016 год.                                                                                                                              </t>
  </si>
  <si>
    <t xml:space="preserve">Дата на съставяне: 19.03.2016.                         </t>
  </si>
  <si>
    <t>Дата на съставяне:19/03/2016</t>
  </si>
  <si>
    <t>Дата на съставяне: 19.03.2016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</si>
</sst>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44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65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64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65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5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5" fontId="9" fillId="0" borderId="0" xfId="37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5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5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11"/>
  <sheetViews>
    <sheetView tabSelected="1" zoomScalePageLayoutView="0" workbookViewId="0" topLeftCell="A1">
      <selection activeCell="G22" sqref="G22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spans="5:9" ht="12.75">
      <c r="E5" s="577" t="s">
        <v>865</v>
      </c>
      <c r="I5" s="578">
        <v>0.05</v>
      </c>
    </row>
    <row r="6" ht="12.75">
      <c r="D6" s="579" t="s">
        <v>870</v>
      </c>
    </row>
    <row r="7" spans="4:5" ht="12.75">
      <c r="D7" s="577">
        <v>290000</v>
      </c>
      <c r="E7" s="577" t="s">
        <v>866</v>
      </c>
    </row>
    <row r="8" ht="12.75">
      <c r="E8" s="577" t="s">
        <v>867</v>
      </c>
    </row>
    <row r="9" ht="12.75">
      <c r="E9" s="577">
        <v>91</v>
      </c>
    </row>
    <row r="10" spans="4:5" ht="12.75">
      <c r="D10" s="577" t="s">
        <v>868</v>
      </c>
      <c r="E10" s="577">
        <f>D7/360*0.05</f>
        <v>40.27777777777778</v>
      </c>
    </row>
    <row r="11" spans="4:5" ht="12.75">
      <c r="D11" s="577" t="s">
        <v>869</v>
      </c>
      <c r="E11" s="577">
        <f>E10*E9</f>
        <v>3665.277777777778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874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249</v>
      </c>
      <c r="H11" s="152">
        <v>249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249</v>
      </c>
      <c r="H17" s="154">
        <f>H11+H14+H15+H16</f>
        <v>249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28</v>
      </c>
      <c r="H19" s="152">
        <v>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137</v>
      </c>
      <c r="H21" s="156">
        <f>SUM(H22:H24)</f>
        <v>117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</v>
      </c>
      <c r="H22" s="152">
        <v>21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116</v>
      </c>
      <c r="H24" s="152">
        <v>96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165</v>
      </c>
      <c r="H25" s="154">
        <f>H19+H20+H21</f>
        <v>145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20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-2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</v>
      </c>
      <c r="H33" s="154">
        <f>H27+H31+H32</f>
        <v>20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412</v>
      </c>
      <c r="H36" s="154">
        <f>H25+H17+H33</f>
        <v>414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4</v>
      </c>
      <c r="D37" s="151">
        <v>4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96</v>
      </c>
      <c r="D47" s="151">
        <v>96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230</v>
      </c>
      <c r="D50" s="151">
        <v>230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326</v>
      </c>
      <c r="D51" s="155">
        <f>SUM(D47:D50)</f>
        <v>326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330</v>
      </c>
      <c r="D55" s="155">
        <f>D19+D20+D21+D27+D32+D45+D51+D53+D54</f>
        <v>330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82</v>
      </c>
      <c r="D87" s="151">
        <v>84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82</v>
      </c>
      <c r="D91" s="155">
        <f>SUM(D87:D90)</f>
        <v>84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82</v>
      </c>
      <c r="D93" s="155">
        <f>D64+D75+D84+D91+D92</f>
        <v>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412</v>
      </c>
      <c r="D94" s="164">
        <f>D93+D55</f>
        <v>414</v>
      </c>
      <c r="E94" s="449" t="s">
        <v>269</v>
      </c>
      <c r="F94" s="289" t="s">
        <v>270</v>
      </c>
      <c r="G94" s="165">
        <f>G36+G39+G55+G79</f>
        <v>412</v>
      </c>
      <c r="H94" s="165">
        <f>H36+H39+H55+H79</f>
        <v>414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23" sqref="H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</v>
      </c>
      <c r="D10" s="46">
        <v>3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2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</v>
      </c>
      <c r="D19" s="49">
        <f>SUM(D9:D15)+D16</f>
        <v>5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25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25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2</v>
      </c>
      <c r="D28" s="50">
        <f>D26+D19</f>
        <v>5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20</v>
      </c>
      <c r="E30" s="127" t="s">
        <v>341</v>
      </c>
      <c r="F30" s="554" t="s">
        <v>342</v>
      </c>
      <c r="G30" s="53">
        <f>IF((C28-G28)&gt;0,C28-G28,0)</f>
        <v>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2</v>
      </c>
      <c r="D33" s="49">
        <f>D28+D31+D32</f>
        <v>5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20</v>
      </c>
      <c r="E34" s="128" t="s">
        <v>355</v>
      </c>
      <c r="F34" s="554" t="s">
        <v>356</v>
      </c>
      <c r="G34" s="548">
        <f>IF((C33-G33)&gt;0,C33-G33,0)</f>
        <v>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20</v>
      </c>
      <c r="E39" s="313" t="s">
        <v>367</v>
      </c>
      <c r="F39" s="558" t="s">
        <v>368</v>
      </c>
      <c r="G39" s="559">
        <f>IF(G34&gt;0,IF(C35+G34&lt;0,0,C35+G34),IF(C34-C35&lt;0,C35-C34,0))</f>
        <v>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20</v>
      </c>
      <c r="E41" s="127" t="s">
        <v>374</v>
      </c>
      <c r="F41" s="571" t="s">
        <v>375</v>
      </c>
      <c r="G41" s="52">
        <f>IF(C39=0,IF(G39-G40&gt;0,G39-G40+C40,0),IF(C39-C40&lt;0,C40-C39+G40,0))</f>
        <v>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</v>
      </c>
      <c r="D42" s="53">
        <f>D33+D35+D39</f>
        <v>25</v>
      </c>
      <c r="E42" s="128" t="s">
        <v>378</v>
      </c>
      <c r="F42" s="129" t="s">
        <v>379</v>
      </c>
      <c r="G42" s="53">
        <f>G39+G33</f>
        <v>2</v>
      </c>
      <c r="H42" s="53">
        <f>H39+H33</f>
        <v>25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42448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F45" sqref="F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</v>
      </c>
      <c r="D20" s="55">
        <f>SUM(D10:D19)</f>
        <v>-5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2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-2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84</v>
      </c>
      <c r="D44" s="132">
        <v>87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82</v>
      </c>
      <c r="D45" s="55">
        <f>D44+D43</f>
        <v>84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82</v>
      </c>
      <c r="D46" s="56">
        <v>84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871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N35" sqref="N3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249</v>
      </c>
      <c r="D11" s="58">
        <f>'справка №1-БАЛАНС'!H19</f>
        <v>28</v>
      </c>
      <c r="E11" s="58">
        <f>'справка №1-БАЛАНС'!H20</f>
        <v>0</v>
      </c>
      <c r="F11" s="58">
        <f>'справка №1-БАЛАНС'!H22</f>
        <v>21</v>
      </c>
      <c r="G11" s="58">
        <f>'справка №1-БАЛАНС'!H23</f>
        <v>0</v>
      </c>
      <c r="H11" s="60">
        <v>96</v>
      </c>
      <c r="I11" s="58">
        <f>'справка №1-БАЛАНС'!H28+'справка №1-БАЛАНС'!H31</f>
        <v>20</v>
      </c>
      <c r="J11" s="58">
        <f>'справка №1-БАЛАНС'!H29+'справка №1-БАЛАНС'!H32</f>
        <v>0</v>
      </c>
      <c r="K11" s="60"/>
      <c r="L11" s="344">
        <f>SUM(C11:K11)</f>
        <v>414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249</v>
      </c>
      <c r="D15" s="61">
        <f aca="true" t="shared" si="2" ref="D15:M15">D11+D12</f>
        <v>28</v>
      </c>
      <c r="E15" s="61">
        <f t="shared" si="2"/>
        <v>0</v>
      </c>
      <c r="F15" s="61">
        <f t="shared" si="2"/>
        <v>21</v>
      </c>
      <c r="G15" s="61">
        <f t="shared" si="2"/>
        <v>0</v>
      </c>
      <c r="H15" s="61">
        <f t="shared" si="2"/>
        <v>96</v>
      </c>
      <c r="I15" s="61">
        <f t="shared" si="2"/>
        <v>20</v>
      </c>
      <c r="J15" s="61">
        <f t="shared" si="2"/>
        <v>0</v>
      </c>
      <c r="K15" s="61">
        <f t="shared" si="2"/>
        <v>0</v>
      </c>
      <c r="L15" s="344">
        <f t="shared" si="1"/>
        <v>414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</v>
      </c>
      <c r="K16" s="60"/>
      <c r="L16" s="344">
        <f t="shared" si="1"/>
        <v>-2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/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>
        <v>0</v>
      </c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249</v>
      </c>
      <c r="D29" s="59">
        <f aca="true" t="shared" si="6" ref="D29:M29">D17+D20+D21+D24+D28+D27+D15+D16</f>
        <v>28</v>
      </c>
      <c r="E29" s="59">
        <f t="shared" si="6"/>
        <v>0</v>
      </c>
      <c r="F29" s="59">
        <f t="shared" si="6"/>
        <v>21</v>
      </c>
      <c r="G29" s="59">
        <f t="shared" si="6"/>
        <v>0</v>
      </c>
      <c r="H29" s="59">
        <f t="shared" si="6"/>
        <v>96</v>
      </c>
      <c r="I29" s="59">
        <f t="shared" si="6"/>
        <v>20</v>
      </c>
      <c r="J29" s="59">
        <f t="shared" si="6"/>
        <v>-2</v>
      </c>
      <c r="K29" s="59">
        <f t="shared" si="6"/>
        <v>0</v>
      </c>
      <c r="L29" s="344">
        <f t="shared" si="1"/>
        <v>412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249</v>
      </c>
      <c r="D32" s="59">
        <f t="shared" si="7"/>
        <v>28</v>
      </c>
      <c r="E32" s="59">
        <f t="shared" si="7"/>
        <v>0</v>
      </c>
      <c r="F32" s="59">
        <f t="shared" si="7"/>
        <v>21</v>
      </c>
      <c r="G32" s="59">
        <f t="shared" si="7"/>
        <v>0</v>
      </c>
      <c r="H32" s="59">
        <f t="shared" si="7"/>
        <v>96</v>
      </c>
      <c r="I32" s="59">
        <f t="shared" si="7"/>
        <v>20</v>
      </c>
      <c r="J32" s="59">
        <f t="shared" si="7"/>
        <v>-2</v>
      </c>
      <c r="K32" s="59">
        <f t="shared" si="7"/>
        <v>0</v>
      </c>
      <c r="L32" s="344">
        <f t="shared" si="1"/>
        <v>412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5" t="s">
        <v>871</v>
      </c>
      <c r="E38" s="595"/>
      <c r="F38" s="595"/>
      <c r="G38" s="595"/>
      <c r="H38" s="595"/>
      <c r="I38" s="595"/>
      <c r="J38" s="15" t="s">
        <v>863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382</v>
      </c>
      <c r="B2" s="614"/>
      <c r="C2" s="615" t="str">
        <f>'справка №1-БАЛАНС'!E3</f>
        <v> 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13" t="s">
        <v>4</v>
      </c>
      <c r="B3" s="614"/>
      <c r="C3" s="616" t="str">
        <f>'справка №1-БАЛАНС'!E5</f>
        <v> </v>
      </c>
      <c r="D3" s="616"/>
      <c r="E3" s="616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7" t="s">
        <v>462</v>
      </c>
      <c r="B5" s="608"/>
      <c r="C5" s="61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9"/>
      <c r="B6" s="610"/>
      <c r="C6" s="61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271</v>
      </c>
      <c r="E27" s="192">
        <f aca="true" t="shared" si="8" ref="E27:P27">SUM(E28:E31)</f>
        <v>0</v>
      </c>
      <c r="F27" s="192">
        <f t="shared" si="8"/>
        <v>267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198</v>
      </c>
      <c r="E28" s="189"/>
      <c r="F28" s="189">
        <v>198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73</v>
      </c>
      <c r="E30" s="189"/>
      <c r="F30" s="189">
        <v>69</v>
      </c>
      <c r="G30" s="74">
        <f t="shared" si="2"/>
        <v>4</v>
      </c>
      <c r="H30" s="72"/>
      <c r="I30" s="72"/>
      <c r="J30" s="74">
        <f t="shared" si="3"/>
        <v>4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4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271</v>
      </c>
      <c r="E38" s="194">
        <f aca="true" t="shared" si="12" ref="E38:P38">E27+E32+E37</f>
        <v>0</v>
      </c>
      <c r="F38" s="194">
        <f t="shared" si="12"/>
        <v>267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271</v>
      </c>
      <c r="E40" s="438">
        <f>E17+E18+E19+E25+E38+E39</f>
        <v>0</v>
      </c>
      <c r="F40" s="438">
        <f aca="true" t="shared" si="13" ref="F40:R40">F17+F18+F19+F25+F38+F39</f>
        <v>267</v>
      </c>
      <c r="G40" s="438">
        <f t="shared" si="13"/>
        <v>4</v>
      </c>
      <c r="H40" s="438">
        <f t="shared" si="13"/>
        <v>0</v>
      </c>
      <c r="I40" s="438">
        <f t="shared" si="13"/>
        <v>0</v>
      </c>
      <c r="J40" s="438">
        <f t="shared" si="13"/>
        <v>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604"/>
      <c r="L44" s="604"/>
      <c r="M44" s="604"/>
      <c r="N44" s="604"/>
      <c r="O44" s="605" t="s">
        <v>864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36</v>
      </c>
      <c r="D85" s="104">
        <f>SUM(D86:D90)+D94</f>
        <v>34</v>
      </c>
      <c r="E85" s="104">
        <f>SUM(E86:E90)+E94</f>
        <v>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23</v>
      </c>
      <c r="D89" s="108">
        <v>21</v>
      </c>
      <c r="E89" s="119">
        <f t="shared" si="1"/>
        <v>2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36</v>
      </c>
      <c r="D96" s="104">
        <f>D85+D80+D75+D71+D95</f>
        <v>34</v>
      </c>
      <c r="E96" s="104">
        <f>E85+E80+E75+E71+E95</f>
        <v>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36</v>
      </c>
      <c r="D97" s="104">
        <f>D96+D68+D66</f>
        <v>34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2</v>
      </c>
      <c r="D104" s="108">
        <v>0</v>
      </c>
      <c r="E104" s="108"/>
      <c r="F104" s="125">
        <f>C104+D104-E104</f>
        <v>2</v>
      </c>
    </row>
    <row r="105" spans="1:16" ht="12">
      <c r="A105" s="412" t="s">
        <v>774</v>
      </c>
      <c r="B105" s="395" t="s">
        <v>775</v>
      </c>
      <c r="C105" s="103">
        <f>SUM(C102:C104)</f>
        <v>2</v>
      </c>
      <c r="D105" s="103">
        <f>SUM(D102:D104)</f>
        <v>0</v>
      </c>
      <c r="E105" s="103">
        <f>SUM(E102:E104)</f>
        <v>0</v>
      </c>
      <c r="F105" s="103">
        <f>SUM(F102:F104)</f>
        <v>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875</v>
      </c>
      <c r="B109" s="618"/>
      <c r="C109" s="618" t="s">
        <v>871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864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9" sqref="C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21</v>
      </c>
      <c r="D19" s="98"/>
      <c r="E19" s="98"/>
      <c r="F19" s="98">
        <v>4</v>
      </c>
      <c r="G19" s="98"/>
      <c r="H19" s="98"/>
      <c r="I19" s="434">
        <f t="shared" si="0"/>
        <v>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21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0</v>
      </c>
      <c r="I26" s="434">
        <f t="shared" si="0"/>
        <v>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8"/>
      <c r="C30" s="628"/>
      <c r="D30" s="459" t="s">
        <v>871</v>
      </c>
      <c r="E30" s="627"/>
      <c r="F30" s="627"/>
      <c r="G30" s="627"/>
      <c r="H30" s="420" t="s">
        <v>864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2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4</v>
      </c>
      <c r="D47" s="441">
        <v>26</v>
      </c>
      <c r="E47" s="441"/>
      <c r="F47" s="443">
        <f aca="true" t="shared" si="2" ref="F47:F60">C47-E47</f>
        <v>4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4</v>
      </c>
      <c r="D61" s="429"/>
      <c r="E61" s="429">
        <f>SUM(E46:E60)</f>
        <v>0</v>
      </c>
      <c r="F61" s="442">
        <f>SUM(F46:F60)</f>
        <v>4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4</v>
      </c>
      <c r="D79" s="429"/>
      <c r="E79" s="429">
        <f>E78+E61+E44+E27</f>
        <v>0</v>
      </c>
      <c r="F79" s="442">
        <f>F78+F61+F44+F27</f>
        <v>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4" t="s">
        <v>873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862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2016-03-19T10:33:50Z</dcterms:modified>
  <cp:category/>
  <cp:version/>
  <cp:contentType/>
  <cp:contentStatus/>
</cp:coreProperties>
</file>