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865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<sst xmlns="http://schemas.openxmlformats.org/spreadsheetml/2006/main" count="1051" uniqueCount="877">
  <si>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</si>
  <si>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</si>
  <si>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</si>
  <si>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</si>
  <si>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</si>
  <si>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</si>
  <si>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</si>
  <si>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</si>
  <si>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</si>
  <si>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</si>
  <si>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</si>
  <si>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</si>
  <si>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</si>
  <si>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</si>
  <si>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</si>
  <si>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</si>
  <si>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</si>
  <si>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</si>
  <si>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</si>
  <si>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</si>
  <si>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</si>
  <si>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</si>
  <si>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</si>
  <si>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</si>
  <si>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</si>
  <si>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</si>
  <si>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</si>
  <si>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</si>
  <si>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</si>
  <si>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</si>
  <si>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</si>
  <si>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</si>
  <si>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</si>
  <si>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</si>
  <si>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</si>
  <si>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</si>
  <si>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</si>
  <si>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</si>
  <si>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</si>
  <si>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</si>
  <si>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</si>
  <si>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</si>
  <si>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</si>
  <si>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</si>
  <si>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</si>
  <si>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</si>
  <si>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</si>
  <si>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</si>
  <si>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</si>
  <si>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</si>
  <si>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</si>
  <si>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</si>
  <si>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</si>
  <si>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</si>
  <si>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</si>
  <si>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</si>
  <si>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</si>
  <si>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</si>
  <si>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</si>
  <si>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</si>
  <si>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</si>
  <si>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</si>
  <si>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</si>
  <si>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</si>
  <si>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</si>
  <si>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</si>
  <si>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</si>
  <si>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</si>
  <si>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</si>
  <si>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</si>
  <si>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</si>
  <si>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</si>
  <si>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</si>
  <si>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</si>
  <si>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</si>
  <si>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</si>
  <si>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</si>
  <si>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</si>
  <si>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</si>
  <si>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</si>
  <si>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</si>
  <si>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</si>
  <si>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</si>
  <si>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</si>
  <si>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</si>
  <si>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</si>
  <si>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</si>
  <si>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</si>
  <si>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</si>
  <si>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</si>
  <si>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</si>
  <si>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</si>
  <si>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</si>
  <si>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</si>
  <si>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</si>
  <si>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</si>
  <si>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</si>
  <si>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</si>
  <si>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</si>
  <si>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</si>
  <si>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</si>
  <si>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</si>
  <si>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</si>
  <si>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</si>
  <si>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</si>
  <si>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</si>
  <si>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</si>
  <si>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</si>
  <si>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</si>
  <si>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</si>
  <si>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</si>
  <si>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</si>
  <si>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</si>
  <si>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</si>
  <si>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</si>
  <si>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</si>
  <si>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</si>
  <si>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</si>
  <si>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</si>
  <si>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</si>
  <si>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</si>
  <si>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</si>
  <si>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</si>
  <si>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</si>
  <si>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</si>
  <si>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</si>
  <si>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</si>
  <si>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</si>
  <si>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</si>
  <si>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</si>
  <si>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</si>
  <si>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</si>
  <si>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</si>
  <si>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</si>
  <si>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</si>
  <si>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</si>
  <si>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</si>
  <si>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</si>
  <si>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</si>
  <si>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</si>
  <si>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</si>
  <si>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</si>
  <si>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</si>
  <si>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</si>
  <si>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</si>
  <si>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</si>
  <si>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</si>
  <si>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</si>
  <si>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</si>
  <si>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</si>
  <si>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</si>
  <si>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</si>
  <si>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</si>
  <si>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</si>
  <si>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</si>
  <si>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</si>
  <si>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</si>
  <si>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</si>
  <si>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</si>
  <si>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</si>
  <si>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</si>
  <si>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</si>
  <si>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</si>
  <si>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</si>
  <si>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</si>
  <si>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</si>
  <si>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</si>
  <si>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</si>
  <si>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</si>
  <si>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</si>
  <si>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</si>
  <si>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</si>
  <si>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</si>
  <si>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</si>
  <si>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</si>
  <si>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</si>
  <si>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</si>
  <si>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</si>
  <si>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</si>
  <si>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</si>
  <si>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</si>
  <si>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</si>
  <si>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</si>
  <si>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</si>
  <si>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</si>
  <si>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</si>
  <si>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</si>
  <si>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</si>
  <si>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</si>
  <si>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</si>
  <si>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</si>
  <si>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</si>
  <si>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</si>
  <si>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</si>
  <si>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</si>
  <si>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</si>
  <si>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</si>
  <si>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</si>
  <si>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</si>
  <si>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</si>
  <si>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</si>
  <si>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</si>
  <si>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</si>
  <si>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</si>
  <si>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</si>
  <si>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</si>
  <si>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</si>
  <si>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</si>
  <si>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</si>
  <si>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</si>
  <si>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</si>
  <si>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</si>
  <si>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</si>
  <si>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</si>
  <si>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</si>
  <si>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</si>
  <si>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</si>
  <si>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</si>
  <si>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</si>
  <si>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</si>
  <si>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</si>
  <si>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</si>
  <si>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</si>
  <si>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</si>
  <si>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</si>
  <si>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</si>
  <si>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</si>
  <si>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</si>
  <si>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</si>
  <si>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</si>
  <si>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</si>
  <si>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</si>
  <si>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</si>
  <si>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</si>
  <si>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</si>
  <si>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</si>
  <si>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</si>
  <si>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</si>
  <si>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</si>
  <si>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</si>
  <si>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</si>
  <si>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</si>
  <si>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</si>
  <si>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</si>
  <si>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</si>
  <si>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</si>
  <si>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</si>
  <si>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</si>
  <si>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</si>
  <si>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</si>
  <si>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</si>
  <si>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</si>
  <si>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</si>
  <si>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</si>
  <si>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</si>
  <si>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</si>
  <si>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</si>
  <si>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</si>
  <si>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</si>
  <si>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</si>
  <si>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</si>
  <si>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</si>
  <si>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</si>
  <si>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</si>
  <si>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</si>
  <si>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</si>
  <si>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</si>
  <si>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</si>
  <si>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</si>
  <si>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</si>
  <si>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</si>
  <si>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</si>
  <si>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</si>
  <si>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</si>
  <si>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</si>
  <si>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</si>
  <si>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</si>
  <si>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</si>
  <si>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</si>
  <si>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</si>
  <si>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</si>
  <si>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</si>
  <si>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</si>
  <si>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</si>
  <si>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</si>
  <si>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</si>
  <si>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</si>
  <si>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</si>
  <si>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</si>
  <si>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</si>
  <si>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</si>
  <si>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</si>
  <si>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</si>
  <si>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</si>
  <si>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</si>
  <si>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</si>
  <si>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</si>
  <si>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</si>
  <si>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</si>
  <si>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</si>
  <si>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</si>
  <si>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</si>
  <si>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</si>
  <si>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</si>
  <si>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</si>
  <si>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</si>
  <si>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</si>
  <si>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</si>
  <si>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</si>
  <si>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</si>
  <si>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</si>
  <si>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</si>
  <si>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</si>
  <si>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</si>
  <si>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</si>
  <si>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</si>
  <si>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</si>
  <si>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</si>
  <si>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</si>
  <si>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</si>
  <si>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</si>
  <si>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</si>
  <si>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</si>
  <si>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</si>
  <si>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</si>
  <si>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</si>
  <si>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</si>
  <si>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</si>
  <si>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</si>
  <si>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</si>
  <si>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</si>
  <si>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</si>
  <si>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</si>
  <si>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</si>
  <si>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</si>
  <si>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</si>
  <si>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</si>
  <si>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</si>
  <si>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</si>
  <si>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</si>
  <si>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</si>
  <si>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</si>
  <si>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</si>
  <si>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</si>
  <si>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</si>
  <si>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</si>
  <si>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</si>
  <si>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</si>
  <si>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</si>
  <si>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</si>
  <si>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</si>
  <si>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</si>
  <si>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</si>
  <si>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</si>
  <si>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</si>
  <si>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</si>
  <si>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</si>
  <si>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</si>
  <si>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</si>
  <si>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</si>
  <si>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</si>
  <si>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</si>
  <si>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</si>
  <si>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</si>
  <si>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</si>
  <si>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</si>
  <si>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</si>
  <si>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</si>
  <si>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</si>
  <si>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</si>
  <si>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</si>
  <si>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</si>
  <si>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</si>
  <si>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</si>
  <si>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</si>
  <si>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</si>
  <si>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</si>
  <si>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</si>
  <si>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</si>
  <si>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</si>
  <si>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</si>
  <si>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</si>
  <si>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</si>
  <si>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</si>
  <si>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</si>
  <si>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</si>
  <si>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</si>
  <si>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</si>
  <si>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</si>
  <si>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</si>
  <si>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</si>
  <si>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</si>
  <si>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</si>
  <si>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</si>
  <si>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</si>
  <si>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</si>
  <si>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</si>
  <si>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</si>
  <si>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</si>
  <si>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</si>
  <si>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</si>
  <si>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</si>
  <si>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</si>
  <si>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</si>
  <si>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</si>
  <si>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</si>
  <si>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</si>
  <si>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</si>
  <si>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</si>
  <si>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</si>
  <si>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</si>
  <si>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</si>
  <si>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</si>
  <si>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</si>
  <si>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</si>
  <si>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</si>
  <si>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</si>
  <si>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</si>
  <si>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</si>
  <si>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</si>
  <si>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</si>
  <si>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</si>
  <si>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</si>
  <si>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</si>
  <si>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</si>
  <si>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</si>
  <si>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</si>
  <si>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</si>
  <si>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</si>
  <si>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</si>
  <si>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</si>
  <si>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</si>
  <si>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</si>
  <si>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</si>
  <si>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</si>
  <si>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</si>
  <si>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</si>
  <si>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</si>
  <si>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</si>
  <si>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</si>
  <si>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</si>
  <si>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</si>
  <si>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</si>
  <si>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</si>
  <si>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</si>
  <si>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</si>
  <si>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</si>
  <si>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</si>
  <si>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</si>
  <si>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</si>
  <si>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</si>
  <si>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</si>
  <si>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</si>
  <si>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</si>
  <si>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</si>
  <si>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</si>
  <si>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</si>
  <si>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</si>
  <si>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</si>
  <si>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</si>
  <si>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</si>
  <si>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</si>
  <si>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</si>
  <si>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</si>
  <si>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</si>
  <si>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</si>
  <si>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</si>
  <si>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</si>
  <si>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</si>
  <si>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</si>
  <si>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</si>
  <si>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</si>
  <si>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</si>
  <si>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</si>
  <si>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</si>
  <si>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</si>
  <si>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</si>
  <si>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</si>
  <si>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</si>
  <si>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</si>
  <si>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</si>
  <si>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</si>
  <si>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</si>
  <si>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</si>
  <si>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</si>
  <si>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</si>
  <si>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</si>
  <si>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</si>
  <si>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</si>
  <si>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</si>
  <si>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</si>
  <si>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</si>
  <si>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</si>
  <si>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</si>
  <si>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</si>
  <si>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</si>
  <si>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</si>
  <si>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</si>
  <si>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</si>
  <si>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</si>
  <si>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</si>
  <si>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</si>
  <si>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</si>
  <si>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</si>
  <si>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</si>
  <si>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</si>
  <si>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</si>
  <si>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</si>
  <si>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</si>
  <si>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</si>
  <si>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</si>
  <si>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</si>
  <si>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</si>
  <si>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</si>
  <si>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</si>
  <si>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</si>
  <si>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</si>
  <si>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</si>
  <si>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</si>
  <si>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</si>
  <si>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</si>
  <si>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</si>
  <si>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</si>
  <si>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</si>
  <si>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</si>
  <si>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</si>
  <si>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</si>
  <si>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</si>
  <si>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</si>
  <si>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</si>
  <si>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</si>
  <si>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</si>
  <si>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</si>
  <si>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</si>
  <si>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</si>
  <si>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</si>
  <si>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</si>
  <si>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</si>
  <si>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</si>
  <si>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</si>
  <si>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</si>
  <si>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</si>
  <si>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</si>
  <si>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</si>
  <si>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</si>
  <si>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</si>
  <si>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</si>
  <si>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</si>
  <si>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</si>
  <si>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</si>
  <si>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</si>
  <si>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</si>
  <si>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</si>
  <si>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</si>
  <si>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</si>
  <si>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</si>
  <si>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</si>
  <si>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</si>
  <si>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</si>
  <si>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</si>
  <si>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</si>
  <si>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</si>
  <si>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</si>
  <si>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</si>
  <si>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</si>
  <si>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</si>
  <si>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</si>
  <si>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</si>
  <si>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</si>
  <si>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</si>
  <si>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</si>
  <si>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</si>
  <si>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</si>
  <si>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</si>
  <si>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</si>
  <si>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</si>
  <si>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</si>
  <si>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</si>
  <si>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</si>
  <si>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</si>
  <si>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</si>
  <si>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</si>
  <si>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</si>
  <si>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</si>
  <si>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</si>
  <si>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</si>
  <si>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</si>
  <si>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</si>
  <si>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</si>
  <si>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</si>
  <si>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</si>
  <si>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</si>
  <si>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</si>
  <si>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</si>
  <si>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</si>
  <si>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</si>
  <si>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</si>
  <si>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</si>
  <si>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</si>
  <si>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</si>
  <si>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</si>
  <si>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</si>
  <si>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</si>
  <si>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</si>
  <si>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</si>
  <si>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</si>
  <si>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</si>
  <si>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</si>
  <si>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</si>
  <si>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</si>
  <si>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</si>
  <si>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</si>
  <si>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</si>
  <si>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</si>
  <si>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</si>
  <si>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</si>
  <si>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</si>
  <si>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</si>
  <si>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</si>
  <si>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</si>
  <si>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</si>
  <si>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</si>
  <si>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</si>
  <si>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</si>
  <si>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</si>
  <si>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</si>
  <si>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</si>
  <si>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</si>
  <si>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</si>
  <si>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</si>
  <si>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</si>
  <si>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</si>
  <si>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</si>
  <si>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</si>
  <si>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</si>
  <si>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</si>
  <si>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</si>
  <si>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</si>
  <si>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</si>
  <si>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</si>
  <si>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</si>
  <si>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</si>
  <si>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</si>
  <si>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</si>
  <si>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</si>
  <si>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</si>
  <si>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</si>
  <si>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</si>
  <si>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</si>
  <si>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</si>
  <si>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</si>
  <si>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</si>
  <si>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</si>
  <si>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</si>
  <si>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</si>
  <si>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</si>
  <si>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</si>
  <si>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</si>
  <si>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</si>
  <si>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</si>
  <si>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</si>
  <si>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</si>
  <si>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</si>
  <si>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</si>
  <si>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</si>
  <si>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</si>
  <si>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</si>
  <si>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</si>
  <si>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</si>
  <si>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</si>
  <si>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</si>
  <si>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</si>
  <si>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</si>
  <si>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</si>
  <si>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</si>
  <si>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</si>
  <si>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</si>
  <si>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</si>
  <si>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</si>
  <si>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</si>
  <si>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</si>
  <si>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</si>
  <si>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</si>
  <si>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</si>
  <si>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</si>
  <si>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</si>
  <si>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</si>
  <si>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</si>
  <si>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</si>
  <si>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</si>
  <si>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</si>
  <si>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</si>
  <si>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</si>
  <si>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</si>
  <si>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</si>
  <si>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</si>
  <si>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</si>
  <si>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</si>
  <si>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</si>
  <si>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</si>
  <si>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</si>
  <si>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</si>
  <si>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</si>
  <si>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</si>
  <si>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</si>
  <si>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</si>
  <si>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</si>
  <si>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</si>
  <si>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</si>
  <si>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</si>
  <si>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</si>
  <si>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</si>
  <si>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</si>
  <si>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</si>
  <si>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</si>
  <si>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</si>
  <si>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</si>
  <si>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</si>
  <si>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</si>
  <si>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</si>
  <si>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</si>
  <si>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</si>
  <si>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</si>
  <si>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</si>
  <si>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</si>
  <si>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</si>
  <si>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</si>
  <si>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</si>
  <si>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</si>
  <si>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</si>
  <si>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</si>
  <si>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</si>
  <si>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</si>
  <si>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</si>
  <si>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</si>
  <si>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</si>
  <si>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</si>
  <si>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</si>
  <si>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</si>
  <si>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</si>
  <si>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</si>
  <si>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</si>
  <si>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</si>
  <si>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</si>
  <si>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</si>
  <si>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</si>
  <si>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</si>
  <si>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</si>
  <si>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</si>
  <si>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</si>
  <si>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</si>
  <si>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</si>
  <si>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</si>
  <si>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</si>
  <si>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</si>
  <si>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</si>
  <si>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</si>
  <si>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</si>
  <si>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</si>
  <si>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</si>
  <si>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</si>
  <si>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</si>
  <si>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</si>
  <si>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</si>
  <si>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</si>
  <si>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</si>
  <si>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</si>
  <si>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</si>
  <si>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</si>
  <si>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</si>
  <si>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</si>
  <si>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</si>
  <si>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</si>
  <si>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</si>
  <si>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</si>
  <si>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</si>
  <si>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</si>
  <si>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</si>
  <si>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</si>
  <si>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</si>
  <si>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</si>
  <si>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</si>
  <si>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</si>
  <si>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</si>
  <si>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</si>
  <si>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</si>
  <si>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</si>
  <si>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</si>
  <si>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</si>
  <si>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</si>
  <si>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</si>
  <si>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</si>
  <si>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</si>
  <si>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</si>
  <si>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</si>
  <si>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</si>
  <si>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</si>
  <si>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</si>
  <si>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</si>
  <si>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</si>
  <si>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</si>
  <si>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</si>
  <si>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</si>
  <si>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</si>
  <si>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</si>
  <si>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</si>
  <si>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</si>
  <si>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</si>
  <si>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</si>
  <si>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</si>
  <si>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</si>
  <si>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</si>
  <si>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</si>
  <si>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</si>
  <si>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</si>
  <si>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</si>
  <si>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</si>
  <si>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</si>
  <si>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</si>
  <si>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</si>
  <si>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</si>
  <si>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</si>
  <si>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</si>
  <si>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</si>
  <si>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</si>
  <si>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</si>
  <si>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</si>
  <si>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</si>
  <si>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</si>
  <si>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</si>
  <si>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</si>
  <si>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</si>
  <si>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</si>
  <si>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</si>
  <si>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</si>
  <si>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</si>
  <si>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</si>
  <si>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</si>
  <si>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</si>
  <si>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</si>
  <si>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</si>
  <si>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</si>
  <si>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</si>
  <si>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</si>
  <si>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</si>
  <si>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</si>
  <si>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</si>
  <si>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</si>
  <si>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</si>
  <si>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</si>
  <si>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</si>
  <si>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</si>
  <si>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</si>
  <si>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</si>
  <si>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</si>
  <si>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</si>
  <si>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</si>
  <si>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</si>
  <si>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</si>
  <si>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</si>
  <si>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</si>
  <si>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</si>
  <si>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</si>
  <si>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</si>
  <si>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</si>
  <si>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</si>
  <si>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</si>
  <si>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</si>
  <si>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</si>
  <si>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</si>
  <si>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</si>
  <si>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</si>
  <si>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</si>
  <si>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</si>
  <si>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Дата на съставяне: 12.08.2013 г</t>
  </si>
  <si>
    <t xml:space="preserve"> 2013 г. 30.06 - ВТОРО ТРИМЕСЕЧИЕ  КОНСОЛИДИРАН </t>
  </si>
  <si>
    <t>6. Изкупени собствени акции на дружества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</si>
</sst>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9">
      <selection activeCell="C75" sqref="C75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3833</v>
      </c>
      <c r="D12" s="204">
        <v>3899.9999997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249</v>
      </c>
      <c r="D13" s="204">
        <v>279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799</v>
      </c>
      <c r="D14" s="204">
        <v>630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59</v>
      </c>
      <c r="D16" s="204">
        <v>61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365</v>
      </c>
      <c r="D18" s="204">
        <v>399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5446</v>
      </c>
      <c r="D19" s="208">
        <f>SUM(D11:D18)</f>
        <v>5409.9999996999995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2147</v>
      </c>
      <c r="H27" s="207">
        <f>SUM(H28:H30)</f>
        <v>2142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3274</v>
      </c>
      <c r="H28" s="205">
        <f>3613-344</f>
        <v>3269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5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-32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2115</v>
      </c>
      <c r="H33" s="207">
        <f>H27+H31+H32</f>
        <v>2147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6380</v>
      </c>
      <c r="H36" s="207">
        <f>H25+H17+H33</f>
        <v>6412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654.666688</v>
      </c>
      <c r="H39" s="211">
        <v>668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331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300</v>
      </c>
      <c r="H44" s="205">
        <v>342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f>61+37+81+64</f>
        <v>243</v>
      </c>
      <c r="H46" s="205">
        <v>242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627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29</v>
      </c>
      <c r="D48" s="204">
        <v>19</v>
      </c>
      <c r="E48" s="292" t="s">
        <v>149</v>
      </c>
      <c r="F48" s="297" t="s">
        <v>150</v>
      </c>
      <c r="G48" s="205">
        <v>0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543</v>
      </c>
      <c r="H49" s="207">
        <f>SUM(H43:H48)</f>
        <v>916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9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38</v>
      </c>
      <c r="D51" s="208">
        <f>SUM(D47:D50)</f>
        <v>646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15</v>
      </c>
      <c r="D54" s="204">
        <v>13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6473</v>
      </c>
      <c r="D55" s="208">
        <f>D19+D20+D21+D27+D32+D45+D51+D53+D54</f>
        <v>6620.9999996999995</v>
      </c>
      <c r="E55" s="292" t="s">
        <v>172</v>
      </c>
      <c r="F55" s="316" t="s">
        <v>173</v>
      </c>
      <c r="G55" s="207">
        <f>G49+G51+G52+G53+G54</f>
        <v>543</v>
      </c>
      <c r="H55" s="207">
        <f>H49+H51+H52+H53+H54</f>
        <v>916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829</v>
      </c>
      <c r="D58" s="204">
        <v>809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186</v>
      </c>
      <c r="D59" s="204">
        <v>196</v>
      </c>
      <c r="E59" s="306" t="s">
        <v>181</v>
      </c>
      <c r="F59" s="297" t="s">
        <v>182</v>
      </c>
      <c r="G59" s="205">
        <v>50</v>
      </c>
      <c r="H59" s="205">
        <v>48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534</v>
      </c>
      <c r="H61" s="207">
        <f>SUM(H62:H68)</f>
        <v>473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60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1118</v>
      </c>
      <c r="D64" s="208">
        <f>SUM(D58:D63)</f>
        <v>1108</v>
      </c>
      <c r="E64" s="292" t="s">
        <v>200</v>
      </c>
      <c r="F64" s="297" t="s">
        <v>201</v>
      </c>
      <c r="G64" s="205">
        <v>285</v>
      </c>
      <c r="H64" s="205">
        <v>256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210</v>
      </c>
      <c r="H65" s="205">
        <v>127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25</v>
      </c>
      <c r="H66" s="205">
        <v>19</v>
      </c>
    </row>
    <row r="67" spans="1:8" ht="15">
      <c r="A67" s="290" t="s">
        <v>207</v>
      </c>
      <c r="B67" s="296" t="s">
        <v>208</v>
      </c>
      <c r="C67" s="204">
        <v>0</v>
      </c>
      <c r="D67" s="204">
        <v>60</v>
      </c>
      <c r="E67" s="292" t="s">
        <v>209</v>
      </c>
      <c r="F67" s="297" t="s">
        <v>210</v>
      </c>
      <c r="G67" s="205">
        <v>3</v>
      </c>
      <c r="H67" s="205">
        <v>3</v>
      </c>
    </row>
    <row r="68" spans="1:8" ht="15">
      <c r="A68" s="290" t="s">
        <v>211</v>
      </c>
      <c r="B68" s="296" t="s">
        <v>212</v>
      </c>
      <c r="C68" s="204">
        <f>471-124</f>
        <v>347</v>
      </c>
      <c r="D68" s="204">
        <v>451</v>
      </c>
      <c r="E68" s="292" t="s">
        <v>213</v>
      </c>
      <c r="F68" s="297" t="s">
        <v>214</v>
      </c>
      <c r="G68" s="205">
        <v>11</v>
      </c>
      <c r="H68" s="205">
        <v>8</v>
      </c>
    </row>
    <row r="69" spans="1:8" ht="15">
      <c r="A69" s="290" t="s">
        <v>215</v>
      </c>
      <c r="B69" s="296" t="s">
        <v>216</v>
      </c>
      <c r="C69" s="204">
        <v>12</v>
      </c>
      <c r="D69" s="204">
        <v>3</v>
      </c>
      <c r="E69" s="306" t="s">
        <v>78</v>
      </c>
      <c r="F69" s="297" t="s">
        <v>217</v>
      </c>
      <c r="G69" s="205">
        <v>154</v>
      </c>
      <c r="H69" s="205">
        <v>141</v>
      </c>
    </row>
    <row r="70" spans="1:8" ht="15">
      <c r="A70" s="290" t="s">
        <v>218</v>
      </c>
      <c r="B70" s="296" t="s">
        <v>219</v>
      </c>
      <c r="C70" s="204">
        <v>12</v>
      </c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738</v>
      </c>
      <c r="H71" s="214">
        <f>H59+H60+H61+H69+H70</f>
        <v>662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49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165</v>
      </c>
      <c r="D74" s="204">
        <f>155+30</f>
        <v>185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585</v>
      </c>
      <c r="D75" s="208">
        <f>SUM(D67:D74)</f>
        <v>776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738</v>
      </c>
      <c r="H79" s="215">
        <f>H71+H74+H75+H76</f>
        <v>662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60</v>
      </c>
      <c r="D87" s="204">
        <v>72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65</v>
      </c>
      <c r="D88" s="204">
        <v>67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125</v>
      </c>
      <c r="D91" s="208">
        <f>SUM(D87:D90)</f>
        <v>139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1843</v>
      </c>
      <c r="D93" s="208">
        <f>D64+D75+D84+D91+D92</f>
        <v>2037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8316</v>
      </c>
      <c r="D94" s="217">
        <f>D93+D55</f>
        <v>8657.9999997</v>
      </c>
      <c r="E94" s="556" t="s">
        <v>270</v>
      </c>
      <c r="F94" s="344" t="s">
        <v>271</v>
      </c>
      <c r="G94" s="218">
        <f>G36+G39+G55+G79</f>
        <v>8315.666688000001</v>
      </c>
      <c r="H94" s="218">
        <f>H36+H39+H55+H79</f>
        <v>8658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-0.3333119999988412</v>
      </c>
      <c r="H97" s="603">
        <f>D94-H94</f>
        <v>-3.0000046535860747E-07</v>
      </c>
      <c r="M97" s="210"/>
    </row>
    <row r="98" spans="1:13" ht="15">
      <c r="A98" s="78" t="s">
        <v>874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G20" sqref="G2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2013 г. 30.06 - ВТОРО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21</v>
      </c>
      <c r="D9" s="79">
        <v>14</v>
      </c>
      <c r="E9" s="362" t="s">
        <v>283</v>
      </c>
      <c r="F9" s="364" t="s">
        <v>284</v>
      </c>
      <c r="G9" s="87">
        <v>20</v>
      </c>
      <c r="H9" s="87">
        <v>55</v>
      </c>
    </row>
    <row r="10" spans="1:8" ht="12">
      <c r="A10" s="362" t="s">
        <v>285</v>
      </c>
      <c r="B10" s="363" t="s">
        <v>286</v>
      </c>
      <c r="C10" s="79">
        <v>64</v>
      </c>
      <c r="D10" s="79">
        <v>116</v>
      </c>
      <c r="E10" s="362" t="s">
        <v>287</v>
      </c>
      <c r="F10" s="364" t="s">
        <v>288</v>
      </c>
      <c r="G10" s="87"/>
      <c r="H10" s="87">
        <v>0</v>
      </c>
    </row>
    <row r="11" spans="1:8" ht="12">
      <c r="A11" s="362" t="s">
        <v>289</v>
      </c>
      <c r="B11" s="363" t="s">
        <v>290</v>
      </c>
      <c r="C11" s="79">
        <v>142</v>
      </c>
      <c r="D11" s="79">
        <v>107</v>
      </c>
      <c r="E11" s="365" t="s">
        <v>291</v>
      </c>
      <c r="F11" s="364" t="s">
        <v>292</v>
      </c>
      <c r="G11" s="87">
        <v>66</v>
      </c>
      <c r="H11" s="87">
        <v>52</v>
      </c>
    </row>
    <row r="12" spans="1:8" ht="12">
      <c r="A12" s="362" t="s">
        <v>293</v>
      </c>
      <c r="B12" s="363" t="s">
        <v>294</v>
      </c>
      <c r="C12" s="79">
        <v>70</v>
      </c>
      <c r="D12" s="79">
        <v>63</v>
      </c>
      <c r="E12" s="365" t="s">
        <v>78</v>
      </c>
      <c r="F12" s="364" t="s">
        <v>295</v>
      </c>
      <c r="G12" s="87">
        <v>227</v>
      </c>
      <c r="H12" s="87">
        <v>296</v>
      </c>
    </row>
    <row r="13" spans="1:18" ht="12">
      <c r="A13" s="362" t="s">
        <v>296</v>
      </c>
      <c r="B13" s="363" t="s">
        <v>297</v>
      </c>
      <c r="C13" s="79">
        <v>12</v>
      </c>
      <c r="D13" s="79">
        <v>9</v>
      </c>
      <c r="E13" s="366" t="s">
        <v>51</v>
      </c>
      <c r="F13" s="367" t="s">
        <v>298</v>
      </c>
      <c r="G13" s="88">
        <f>SUM(G9:G12)</f>
        <v>313</v>
      </c>
      <c r="H13" s="88">
        <f>SUM(H9:H12)</f>
        <v>403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</v>
      </c>
      <c r="D14" s="79">
        <v>77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10</v>
      </c>
      <c r="D15" s="80">
        <v>-1</v>
      </c>
      <c r="E15" s="360" t="s">
        <v>303</v>
      </c>
      <c r="F15" s="369" t="s">
        <v>304</v>
      </c>
      <c r="G15" s="87"/>
      <c r="H15" s="87">
        <v>0</v>
      </c>
    </row>
    <row r="16" spans="1:8" ht="12">
      <c r="A16" s="362" t="s">
        <v>305</v>
      </c>
      <c r="B16" s="363" t="s">
        <v>306</v>
      </c>
      <c r="C16" s="80">
        <v>3</v>
      </c>
      <c r="D16" s="80">
        <v>0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323</v>
      </c>
      <c r="D19" s="82">
        <f>SUM(D9:D15)+D16</f>
        <v>385</v>
      </c>
      <c r="E19" s="372" t="s">
        <v>315</v>
      </c>
      <c r="F19" s="368" t="s">
        <v>316</v>
      </c>
      <c r="G19" s="87">
        <v>28</v>
      </c>
      <c r="H19" s="87">
        <v>29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47</v>
      </c>
      <c r="D22" s="79">
        <v>27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28</v>
      </c>
      <c r="H24" s="88">
        <f>SUM(H19:H23)</f>
        <v>29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3</v>
      </c>
      <c r="D25" s="79">
        <v>6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50</v>
      </c>
      <c r="D26" s="82">
        <f>SUM(D22:D25)</f>
        <v>33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373</v>
      </c>
      <c r="D28" s="83">
        <f>D26+D19</f>
        <v>418</v>
      </c>
      <c r="E28" s="173" t="s">
        <v>337</v>
      </c>
      <c r="F28" s="369" t="s">
        <v>338</v>
      </c>
      <c r="G28" s="88">
        <f>G13+G15+G24</f>
        <v>341</v>
      </c>
      <c r="H28" s="88">
        <f>H13+H15+H24</f>
        <v>432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14</v>
      </c>
      <c r="E30" s="173" t="s">
        <v>341</v>
      </c>
      <c r="F30" s="369" t="s">
        <v>342</v>
      </c>
      <c r="G30" s="90">
        <f>IF((C28-G28)&gt;0,C28-G28,0)</f>
        <v>32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5.833323999999999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373</v>
      </c>
      <c r="D33" s="82">
        <f>D28+D31+D32</f>
        <v>423.833324</v>
      </c>
      <c r="E33" s="173" t="s">
        <v>351</v>
      </c>
      <c r="F33" s="369" t="s">
        <v>352</v>
      </c>
      <c r="G33" s="90">
        <f>G32+G31+G28</f>
        <v>341</v>
      </c>
      <c r="H33" s="90">
        <f>H32+H31+H28</f>
        <v>432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8.166675999999995</v>
      </c>
      <c r="E34" s="378" t="s">
        <v>355</v>
      </c>
      <c r="F34" s="369" t="s">
        <v>356</v>
      </c>
      <c r="G34" s="88">
        <f>IF((C33-G33)&gt;0,C33-G33,0)</f>
        <v>32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8.166675999999995</v>
      </c>
      <c r="E39" s="385" t="s">
        <v>367</v>
      </c>
      <c r="F39" s="174" t="s">
        <v>368</v>
      </c>
      <c r="G39" s="91">
        <f>IF(G34&gt;0,IF(C35+G34&lt;0,0,C35+G34),IF(C34-C35&lt;0,C35-C34,0))</f>
        <v>32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0</v>
      </c>
      <c r="D40" s="84">
        <f>D39*0.4166666</f>
        <v>3.4027811222215982</v>
      </c>
      <c r="E40" s="173" t="s">
        <v>369</v>
      </c>
      <c r="F40" s="174" t="s">
        <v>371</v>
      </c>
      <c r="G40" s="87">
        <f>G39*0.416666</f>
        <v>13.333312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4.763894877778397</v>
      </c>
      <c r="E41" s="173" t="s">
        <v>374</v>
      </c>
      <c r="F41" s="174" t="s">
        <v>375</v>
      </c>
      <c r="G41" s="85">
        <f>IF(C39=0,IF(G39-G40&gt;0,G39-G40+C40,0),IF(C39-C40&lt;0,C40-C39+G40,0))</f>
        <v>18.666688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373</v>
      </c>
      <c r="D42" s="86">
        <f>D33+D35+D39</f>
        <v>432</v>
      </c>
      <c r="E42" s="176" t="s">
        <v>378</v>
      </c>
      <c r="F42" s="177" t="s">
        <v>379</v>
      </c>
      <c r="G42" s="90">
        <f>G39+G33</f>
        <v>373</v>
      </c>
      <c r="H42" s="90">
        <f>H39+H33</f>
        <v>432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2013 г. 30.06 - ВТОРО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172</v>
      </c>
      <c r="D10" s="92">
        <v>324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-65</v>
      </c>
      <c r="D11" s="92">
        <v>-629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-34</v>
      </c>
      <c r="D13" s="92">
        <v>-68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-8</v>
      </c>
      <c r="D14" s="92">
        <v>25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0</v>
      </c>
      <c r="D15" s="92">
        <v>-11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2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-4-13</f>
        <v>-17</v>
      </c>
      <c r="D19" s="92">
        <v>-112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50</v>
      </c>
      <c r="D20" s="93">
        <f>SUM(D10:D19)</f>
        <v>-471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0</v>
      </c>
      <c r="D22" s="92">
        <v>-13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21</v>
      </c>
      <c r="D23" s="92">
        <v>8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-12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21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>
        <v>1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-2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19</v>
      </c>
      <c r="D32" s="93">
        <f>SUM(D22:D31)</f>
        <v>5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64</v>
      </c>
      <c r="D36" s="92">
        <v>430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-138</v>
      </c>
      <c r="D37" s="92">
        <v>-75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-9</v>
      </c>
      <c r="D39" s="92">
        <v>-3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0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-83</v>
      </c>
      <c r="D42" s="93">
        <f>SUM(D34:D41)</f>
        <v>348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-14</v>
      </c>
      <c r="D43" s="93">
        <f>D42+D32+D20</f>
        <v>-118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139</v>
      </c>
      <c r="D44" s="183">
        <f>384-94-43-15+25</f>
        <v>257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125</v>
      </c>
      <c r="D45" s="93">
        <f>D44+D43</f>
        <v>139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125</v>
      </c>
      <c r="D46" s="94"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12.08.2013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D14" sqref="D1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2013 г. 30.06 - ВТОРО ТРИМЕСЕЧИЕ 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3274</v>
      </c>
      <c r="J11" s="96">
        <f>'справка №1-БАЛАНС'!H29+'справка №1-БАЛАНС'!H32</f>
        <v>-1127</v>
      </c>
      <c r="K11" s="98"/>
      <c r="L11" s="423">
        <f>SUM(C11:K11)</f>
        <v>6412</v>
      </c>
      <c r="M11" s="96">
        <f>'справка №1-БАЛАНС'!H39</f>
        <v>668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3274</v>
      </c>
      <c r="J15" s="99">
        <f t="shared" si="2"/>
        <v>-1127</v>
      </c>
      <c r="K15" s="99">
        <f t="shared" si="2"/>
        <v>0</v>
      </c>
      <c r="L15" s="423">
        <f t="shared" si="1"/>
        <v>6412</v>
      </c>
      <c r="M15" s="99">
        <f t="shared" si="2"/>
        <v>668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-32</v>
      </c>
      <c r="K16" s="98"/>
      <c r="L16" s="423">
        <f t="shared" si="1"/>
        <v>-32</v>
      </c>
      <c r="M16" s="98">
        <f>'справка №2-ОТЧЕТ ЗА ДОХОДИТE'!C40+('справка №2-ОТЧЕТ ЗА ДОХОДИТE'!G40*-1)</f>
        <v>-13.333312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3274</v>
      </c>
      <c r="J29" s="97">
        <f t="shared" si="6"/>
        <v>-1159</v>
      </c>
      <c r="K29" s="97">
        <f t="shared" si="6"/>
        <v>0</v>
      </c>
      <c r="L29" s="423">
        <f t="shared" si="1"/>
        <v>6380</v>
      </c>
      <c r="M29" s="97">
        <f t="shared" si="6"/>
        <v>654.666688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3274</v>
      </c>
      <c r="J32" s="97">
        <f t="shared" si="7"/>
        <v>-1159</v>
      </c>
      <c r="K32" s="97">
        <f t="shared" si="7"/>
        <v>0</v>
      </c>
      <c r="L32" s="423">
        <f t="shared" si="1"/>
        <v>6380</v>
      </c>
      <c r="M32" s="97">
        <f>M29+M30+M31</f>
        <v>654.666688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12.08.2013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1">
      <selection activeCell="R10" sqref="R1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2" t="s">
        <v>383</v>
      </c>
      <c r="B2" s="625"/>
      <c r="C2" s="583"/>
      <c r="D2" s="583"/>
      <c r="E2" s="612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8" t="s">
        <v>2</v>
      </c>
      <c r="N2" s="624"/>
      <c r="O2" s="624"/>
      <c r="P2" s="629">
        <f>'справка №1-БАЛАНС'!H3</f>
        <v>0</v>
      </c>
      <c r="Q2" s="629"/>
      <c r="R2" s="352"/>
    </row>
    <row r="3" spans="1:18" ht="15">
      <c r="A3" s="632" t="s">
        <v>5</v>
      </c>
      <c r="B3" s="625"/>
      <c r="C3" s="584"/>
      <c r="D3" s="584"/>
      <c r="E3" s="612" t="str">
        <f>'справка №1-БАЛАНС'!E5</f>
        <v> 2013 г. 30.06 - ВТОРО ТРИМЕСЕЧИЕ  КОНСОЛИДИРАН </v>
      </c>
      <c r="F3" s="634"/>
      <c r="G3" s="634"/>
      <c r="H3" s="442"/>
      <c r="I3" s="442"/>
      <c r="J3" s="442"/>
      <c r="K3" s="442"/>
      <c r="L3" s="442"/>
      <c r="M3" s="630" t="s">
        <v>4</v>
      </c>
      <c r="N3" s="630"/>
      <c r="O3" s="575"/>
      <c r="P3" s="631" t="str">
        <f>'справка №1-БАЛАНС'!H4</f>
        <v> </v>
      </c>
      <c r="Q3" s="631"/>
      <c r="R3" s="353"/>
    </row>
    <row r="4" spans="1:18" ht="12.75">
      <c r="A4" s="435" t="s">
        <v>523</v>
      </c>
      <c r="B4" s="441"/>
      <c r="C4" s="441"/>
      <c r="D4" s="442"/>
      <c r="E4" s="615"/>
      <c r="F4" s="616"/>
      <c r="G4" s="61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7"/>
      <c r="R6" s="62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4542</v>
      </c>
      <c r="E10" s="242"/>
      <c r="F10" s="242"/>
      <c r="G10" s="113">
        <f aca="true" t="shared" si="3" ref="G10:G39">D10+E10-F10</f>
        <v>4542</v>
      </c>
      <c r="H10" s="103"/>
      <c r="I10" s="103"/>
      <c r="J10" s="113">
        <f aca="true" t="shared" si="4" ref="J10:J39">G10+H10-I10</f>
        <v>4542</v>
      </c>
      <c r="K10" s="103">
        <v>642</v>
      </c>
      <c r="L10" s="103">
        <f>3900-3866+(3866-3833)</f>
        <v>67</v>
      </c>
      <c r="M10" s="103"/>
      <c r="N10" s="113">
        <f t="shared" si="0"/>
        <v>709</v>
      </c>
      <c r="O10" s="103"/>
      <c r="P10" s="103"/>
      <c r="Q10" s="113">
        <f t="shared" si="1"/>
        <v>709</v>
      </c>
      <c r="R10" s="113">
        <f t="shared" si="2"/>
        <v>3833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802</v>
      </c>
      <c r="E11" s="242">
        <v>1</v>
      </c>
      <c r="F11" s="242"/>
      <c r="G11" s="113">
        <f t="shared" si="3"/>
        <v>803</v>
      </c>
      <c r="H11" s="103"/>
      <c r="I11" s="103"/>
      <c r="J11" s="113">
        <f t="shared" si="4"/>
        <v>803</v>
      </c>
      <c r="K11" s="103">
        <v>523</v>
      </c>
      <c r="L11" s="103">
        <f>279-262+(262-249)+1</f>
        <v>31</v>
      </c>
      <c r="M11" s="103"/>
      <c r="N11" s="113">
        <f t="shared" si="0"/>
        <v>554</v>
      </c>
      <c r="O11" s="103"/>
      <c r="P11" s="103"/>
      <c r="Q11" s="113">
        <f t="shared" si="1"/>
        <v>554</v>
      </c>
      <c r="R11" s="113">
        <f t="shared" si="2"/>
        <v>249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689</v>
      </c>
      <c r="E12" s="242">
        <f>173+5</f>
        <v>178</v>
      </c>
      <c r="F12" s="242"/>
      <c r="G12" s="113">
        <f t="shared" si="3"/>
        <v>867</v>
      </c>
      <c r="H12" s="103"/>
      <c r="I12" s="103"/>
      <c r="J12" s="113">
        <f t="shared" si="4"/>
        <v>867</v>
      </c>
      <c r="K12" s="103">
        <v>59</v>
      </c>
      <c r="L12" s="103">
        <f>5+(803-799)</f>
        <v>9</v>
      </c>
      <c r="M12" s="103"/>
      <c r="N12" s="113">
        <f t="shared" si="0"/>
        <v>68</v>
      </c>
      <c r="O12" s="103"/>
      <c r="P12" s="103"/>
      <c r="Q12" s="113">
        <f t="shared" si="1"/>
        <v>68</v>
      </c>
      <c r="R12" s="113">
        <f t="shared" si="2"/>
        <v>799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/>
      <c r="F14" s="242"/>
      <c r="G14" s="113">
        <f t="shared" si="3"/>
        <v>194</v>
      </c>
      <c r="H14" s="103"/>
      <c r="I14" s="103"/>
      <c r="J14" s="113">
        <f t="shared" si="4"/>
        <v>194</v>
      </c>
      <c r="K14" s="103">
        <v>133</v>
      </c>
      <c r="L14" s="103">
        <f>1+1</f>
        <v>2</v>
      </c>
      <c r="M14" s="103"/>
      <c r="N14" s="113">
        <f t="shared" si="0"/>
        <v>135</v>
      </c>
      <c r="O14" s="103"/>
      <c r="P14" s="103"/>
      <c r="Q14" s="113">
        <f t="shared" si="1"/>
        <v>135</v>
      </c>
      <c r="R14" s="113">
        <f t="shared" si="2"/>
        <v>59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/>
      <c r="F15" s="563"/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450</v>
      </c>
      <c r="E16" s="242"/>
      <c r="F16" s="242">
        <v>1</v>
      </c>
      <c r="G16" s="113">
        <f t="shared" si="3"/>
        <v>449</v>
      </c>
      <c r="H16" s="103"/>
      <c r="I16" s="103"/>
      <c r="J16" s="113">
        <f t="shared" si="4"/>
        <v>449</v>
      </c>
      <c r="K16" s="103">
        <v>51</v>
      </c>
      <c r="L16" s="103">
        <f>16+(382-365)</f>
        <v>33</v>
      </c>
      <c r="M16" s="103"/>
      <c r="N16" s="113">
        <f t="shared" si="0"/>
        <v>84</v>
      </c>
      <c r="O16" s="103"/>
      <c r="P16" s="103"/>
      <c r="Q16" s="113">
        <f aca="true" t="shared" si="5" ref="Q16:Q25">N16+O16-P16</f>
        <v>84</v>
      </c>
      <c r="R16" s="113">
        <f aca="true" t="shared" si="6" ref="R16:R25">J16-Q16</f>
        <v>365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6980</v>
      </c>
      <c r="E17" s="247">
        <f>SUM(E9:E16)</f>
        <v>179</v>
      </c>
      <c r="F17" s="247">
        <f>SUM(F9:F16)</f>
        <v>1</v>
      </c>
      <c r="G17" s="113">
        <f t="shared" si="3"/>
        <v>7158</v>
      </c>
      <c r="H17" s="114">
        <f>SUM(H9:H16)</f>
        <v>0</v>
      </c>
      <c r="I17" s="114">
        <f>SUM(I9:I16)</f>
        <v>0</v>
      </c>
      <c r="J17" s="113">
        <f t="shared" si="4"/>
        <v>7158</v>
      </c>
      <c r="K17" s="114">
        <f>SUM(K9:K16)</f>
        <v>1570</v>
      </c>
      <c r="L17" s="114">
        <f>SUM(L9:L16)</f>
        <v>142</v>
      </c>
      <c r="M17" s="114">
        <f>SUM(M9:M16)</f>
        <v>0</v>
      </c>
      <c r="N17" s="113">
        <f aca="true" t="shared" si="7" ref="N17:N39">K17+L17-M17</f>
        <v>1712</v>
      </c>
      <c r="O17" s="114">
        <f>SUM(O9:O16)</f>
        <v>0</v>
      </c>
      <c r="P17" s="114">
        <f>SUM(P9:P16)</f>
        <v>0</v>
      </c>
      <c r="Q17" s="113">
        <f t="shared" si="5"/>
        <v>1712</v>
      </c>
      <c r="R17" s="113">
        <f t="shared" si="6"/>
        <v>5446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422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>
        <f>475-53</f>
        <v>422</v>
      </c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422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7644</v>
      </c>
      <c r="E40" s="545">
        <f>E17+E18+E19+E25+E38+E39</f>
        <v>601</v>
      </c>
      <c r="F40" s="545">
        <f aca="true" t="shared" si="14" ref="F40:R40">F17+F18+F19+F25+F38+F39</f>
        <v>1</v>
      </c>
      <c r="G40" s="545">
        <f t="shared" si="14"/>
        <v>8244</v>
      </c>
      <c r="H40" s="545">
        <f t="shared" si="14"/>
        <v>0</v>
      </c>
      <c r="I40" s="545">
        <f t="shared" si="14"/>
        <v>0</v>
      </c>
      <c r="J40" s="545">
        <f t="shared" si="14"/>
        <v>8244</v>
      </c>
      <c r="K40" s="545">
        <f t="shared" si="14"/>
        <v>1682</v>
      </c>
      <c r="L40" s="545">
        <f t="shared" si="14"/>
        <v>142</v>
      </c>
      <c r="M40" s="545">
        <f t="shared" si="14"/>
        <v>0</v>
      </c>
      <c r="N40" s="545">
        <f t="shared" si="14"/>
        <v>1824</v>
      </c>
      <c r="O40" s="545">
        <f t="shared" si="14"/>
        <v>0</v>
      </c>
      <c r="P40" s="545">
        <f t="shared" si="14"/>
        <v>0</v>
      </c>
      <c r="Q40" s="545">
        <f t="shared" si="14"/>
        <v>1824</v>
      </c>
      <c r="R40" s="545">
        <f t="shared" si="14"/>
        <v>6420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142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6420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12.08.2013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C97" sqref="C9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2013 г. 30.06 - ВТОРО ТРИМЕСЕЧИЕ 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29</v>
      </c>
      <c r="D15" s="153"/>
      <c r="E15" s="166">
        <f t="shared" si="0"/>
        <v>29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9</v>
      </c>
      <c r="D16" s="165">
        <f>+D17+D18</f>
        <v>0</v>
      </c>
      <c r="E16" s="166">
        <f t="shared" si="0"/>
        <v>9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9</v>
      </c>
      <c r="D18" s="153"/>
      <c r="E18" s="166">
        <f t="shared" si="0"/>
        <v>9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38</v>
      </c>
      <c r="D19" s="149">
        <f>D11+D15+D16</f>
        <v>0</v>
      </c>
      <c r="E19" s="164">
        <f>E11+E15+E16</f>
        <v>38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347</v>
      </c>
      <c r="D28" s="153">
        <v>179</v>
      </c>
      <c r="E28" s="166">
        <f t="shared" si="0"/>
        <v>168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12</v>
      </c>
      <c r="D29" s="153"/>
      <c r="E29" s="166">
        <f t="shared" si="0"/>
        <v>12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49</v>
      </c>
      <c r="D33" s="150">
        <f>SUM(D34:D37)</f>
        <v>27</v>
      </c>
      <c r="E33" s="167">
        <f>SUM(E34:E37)</f>
        <v>22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20</v>
      </c>
      <c r="D34" s="153"/>
      <c r="E34" s="166">
        <f t="shared" si="0"/>
        <v>20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165</v>
      </c>
      <c r="D38" s="150">
        <f>SUM(D39:D42)</f>
        <v>0</v>
      </c>
      <c r="E38" s="167">
        <f>SUM(E39:E42)</f>
        <v>165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165</v>
      </c>
      <c r="D42" s="153"/>
      <c r="E42" s="166">
        <f t="shared" si="0"/>
        <v>165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585</v>
      </c>
      <c r="D43" s="149">
        <f>D24+D28+D29+D31+D30+D32+D33+D38</f>
        <v>206</v>
      </c>
      <c r="E43" s="164">
        <f>E24+E28+E29+E31+E30+E32+E33+E38</f>
        <v>379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623</v>
      </c>
      <c r="D44" s="148">
        <f>D43+D21+D19+D9</f>
        <v>206</v>
      </c>
      <c r="E44" s="164">
        <f>E43+E21+E19+E9</f>
        <v>417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300</v>
      </c>
      <c r="D56" s="148">
        <f>D57+D59</f>
        <v>0</v>
      </c>
      <c r="E56" s="165">
        <f t="shared" si="1"/>
        <v>300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300</v>
      </c>
      <c r="D57" s="153">
        <v>0</v>
      </c>
      <c r="E57" s="165">
        <f t="shared" si="1"/>
        <v>300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243</v>
      </c>
      <c r="D62" s="153"/>
      <c r="E62" s="165">
        <f t="shared" si="1"/>
        <v>243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543</v>
      </c>
      <c r="D66" s="148">
        <f>D52+D56+D61+D62+D63+D64</f>
        <v>0</v>
      </c>
      <c r="E66" s="165">
        <f t="shared" si="1"/>
        <v>543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50</v>
      </c>
      <c r="D75" s="148">
        <f>D76+D78</f>
        <v>14</v>
      </c>
      <c r="E75" s="148">
        <f>E76+E78</f>
        <v>36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50</v>
      </c>
      <c r="D78" s="153">
        <v>14</v>
      </c>
      <c r="E78" s="165">
        <f t="shared" si="1"/>
        <v>36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534</v>
      </c>
      <c r="D85" s="149">
        <f>SUM(D86:D90)+D94</f>
        <v>235</v>
      </c>
      <c r="E85" s="149">
        <f>SUM(E86:E90)+E94</f>
        <v>299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285</v>
      </c>
      <c r="D87" s="153">
        <f>401-108-70</f>
        <v>223</v>
      </c>
      <c r="E87" s="165">
        <f t="shared" si="1"/>
        <v>62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210</v>
      </c>
      <c r="D88" s="153"/>
      <c r="E88" s="165">
        <f t="shared" si="1"/>
        <v>210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25</v>
      </c>
      <c r="D89" s="153">
        <v>10</v>
      </c>
      <c r="E89" s="165">
        <f t="shared" si="1"/>
        <v>15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11</v>
      </c>
      <c r="D90" s="148">
        <f>SUM(D91:D93)</f>
        <v>0</v>
      </c>
      <c r="E90" s="148">
        <f>SUM(E91:E93)</f>
        <v>11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11</v>
      </c>
      <c r="D92" s="153"/>
      <c r="E92" s="165">
        <f t="shared" si="1"/>
        <v>11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2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154</v>
      </c>
      <c r="D95" s="153">
        <v>56</v>
      </c>
      <c r="E95" s="165">
        <f t="shared" si="1"/>
        <v>98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738</v>
      </c>
      <c r="D96" s="149">
        <f>D85+D80+D75+D71+D95</f>
        <v>305</v>
      </c>
      <c r="E96" s="149">
        <f>E85+E80+E75+E71+E95</f>
        <v>433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1281</v>
      </c>
      <c r="D97" s="149">
        <f>D96+D68+D66</f>
        <v>305</v>
      </c>
      <c r="E97" s="149">
        <f>E96+E68+E66</f>
        <v>976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12.08.2013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6" sqref="C16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2013 г. 30.06 - ВТОРО ТРИМЕСЕЧИЕ 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12.08.2013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49">
      <selection activeCell="A58" sqref="A5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2013 г. 30.06 - ВТОРО ТРИМЕСЕЧИЕ 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876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12.08.2013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2013-08-29T09:05:10Z</cp:lastPrinted>
  <dcterms:created xsi:type="dcterms:W3CDTF">2000-06-29T12:02:40Z</dcterms:created>
  <dcterms:modified xsi:type="dcterms:W3CDTF">2013-08-29T20:40:13Z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