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70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<sst xmlns="http://schemas.openxmlformats.org/spreadsheetml/2006/main" count="4296" uniqueCount="1001">
  <si>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</si>
  <si>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</si>
  <si>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</si>
  <si>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</si>
  <si>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</si>
  <si>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</si>
  <si>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</si>
  <si>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</si>
  <si>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</si>
  <si>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</si>
  <si>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</si>
  <si>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</si>
  <si>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</si>
  <si>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</si>
  <si>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</si>
  <si>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</si>
  <si>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</si>
  <si>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</si>
  <si>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</si>
  <si>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</si>
  <si>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</si>
  <si>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</si>
  <si>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</si>
  <si>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</si>
  <si>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</si>
  <si>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</si>
  <si>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</si>
  <si>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</si>
  <si>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</si>
  <si>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</si>
  <si>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</si>
  <si>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</si>
  <si>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</si>
  <si>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</si>
  <si>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</si>
  <si>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</si>
  <si>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</si>
  <si>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</si>
  <si>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</si>
  <si>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</si>
  <si>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</si>
  <si>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</si>
  <si>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</si>
  <si>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</si>
  <si>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</si>
  <si>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</si>
  <si>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</si>
  <si>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</si>
  <si>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</si>
  <si>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</si>
  <si>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</si>
  <si>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</si>
  <si>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</si>
  <si>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</si>
  <si>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</si>
  <si>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</si>
  <si>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</si>
  <si>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</si>
  <si>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</si>
  <si>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</si>
  <si>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</si>
  <si>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</si>
  <si>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</si>
  <si>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</si>
  <si>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</si>
  <si>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</si>
  <si>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</si>
  <si>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</si>
  <si>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</si>
  <si>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</si>
  <si>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</si>
  <si>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</si>
  <si>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</si>
  <si>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</si>
  <si>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</si>
  <si>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</si>
  <si>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</si>
  <si>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</si>
  <si>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</si>
  <si>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</si>
  <si>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</si>
  <si>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</si>
  <si>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</si>
  <si>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</si>
  <si>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</si>
  <si>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</si>
  <si>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</si>
  <si>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</si>
  <si>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</si>
  <si>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</si>
  <si>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</si>
  <si>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</si>
  <si>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</si>
  <si>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</si>
  <si>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</si>
  <si>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</si>
  <si>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</si>
  <si>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</si>
  <si>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</si>
  <si>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</si>
  <si>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</si>
  <si>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</si>
  <si>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</si>
  <si>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</si>
  <si>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</si>
  <si>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</si>
  <si>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</si>
  <si>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</si>
  <si>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</si>
  <si>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</si>
  <si>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</si>
  <si>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</si>
  <si>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</si>
  <si>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</si>
  <si>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</si>
  <si>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</si>
  <si>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</si>
  <si>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</si>
  <si>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</si>
  <si>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</si>
  <si>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</si>
  <si>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</si>
  <si>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</si>
  <si>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</si>
  <si>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</si>
  <si>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</si>
  <si>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</si>
  <si>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</si>
  <si>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</si>
  <si>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</si>
  <si>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</si>
  <si>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</si>
  <si>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</si>
  <si>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</si>
  <si>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</si>
  <si>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</si>
  <si>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</si>
  <si>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</si>
  <si>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</si>
  <si>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</si>
  <si>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</si>
  <si>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</si>
  <si>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</si>
  <si>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</si>
  <si>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</si>
  <si>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</si>
  <si>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</si>
  <si>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</si>
  <si>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</si>
  <si>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</si>
  <si>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</si>
  <si>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</si>
  <si>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</si>
  <si>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</si>
  <si>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</si>
  <si>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</si>
  <si>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</si>
  <si>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</si>
  <si>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</si>
  <si>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</si>
  <si>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</si>
  <si>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</si>
  <si>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</si>
  <si>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</si>
  <si>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</si>
  <si>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</si>
  <si>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</si>
  <si>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</si>
  <si>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</si>
  <si>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</si>
  <si>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</si>
  <si>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</si>
  <si>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</si>
  <si>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</si>
  <si>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</si>
  <si>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</si>
  <si>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</si>
  <si>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</si>
  <si>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</si>
  <si>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</si>
  <si>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</si>
  <si>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</si>
  <si>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</si>
  <si>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</si>
  <si>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</si>
  <si>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</si>
  <si>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</si>
  <si>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</si>
  <si>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</si>
  <si>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</si>
  <si>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</si>
  <si>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</si>
  <si>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</si>
  <si>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</si>
  <si>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</si>
  <si>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</si>
  <si>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</si>
  <si>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</si>
  <si>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</si>
  <si>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</si>
  <si>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</si>
  <si>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</si>
  <si>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</si>
  <si>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</si>
  <si>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</si>
  <si>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</si>
  <si>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</si>
  <si>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</si>
  <si>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</si>
  <si>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</si>
  <si>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</si>
  <si>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</si>
  <si>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</si>
  <si>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</si>
  <si>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</si>
  <si>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</si>
  <si>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</si>
  <si>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</si>
  <si>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</si>
  <si>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</si>
  <si>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</si>
  <si>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</si>
  <si>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</si>
  <si>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</si>
  <si>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</si>
  <si>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</si>
  <si>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</si>
  <si>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</si>
  <si>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</si>
  <si>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</si>
  <si>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</si>
  <si>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</si>
  <si>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</si>
  <si>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</si>
  <si>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</si>
  <si>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</si>
  <si>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</si>
  <si>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</si>
  <si>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</si>
  <si>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</si>
  <si>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</si>
  <si>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</si>
  <si>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</si>
  <si>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</si>
  <si>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</si>
  <si>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</si>
  <si>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</si>
  <si>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</si>
  <si>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</si>
  <si>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</si>
  <si>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</si>
  <si>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</si>
  <si>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</si>
  <si>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</si>
  <si>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</si>
  <si>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</si>
  <si>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</si>
  <si>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</si>
  <si>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</si>
  <si>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</si>
  <si>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</si>
  <si>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</si>
  <si>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</si>
  <si>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</si>
  <si>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</si>
  <si>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</si>
  <si>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</si>
  <si>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</si>
  <si>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</si>
  <si>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</si>
  <si>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</si>
  <si>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</si>
  <si>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</si>
  <si>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</si>
  <si>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</si>
  <si>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</si>
  <si>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</si>
  <si>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</si>
  <si>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</si>
  <si>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</si>
  <si>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</si>
  <si>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</si>
  <si>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</si>
  <si>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</si>
  <si>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</si>
  <si>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</si>
  <si>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</si>
  <si>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</si>
  <si>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</si>
  <si>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</si>
  <si>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</si>
  <si>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</si>
  <si>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</si>
  <si>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</si>
  <si>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</si>
  <si>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</si>
  <si>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</si>
  <si>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</si>
  <si>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</si>
  <si>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</si>
  <si>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</si>
  <si>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</si>
  <si>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</si>
  <si>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</si>
  <si>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</si>
  <si>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</si>
  <si>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</si>
  <si>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</si>
  <si>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</si>
  <si>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</si>
  <si>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</si>
  <si>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</si>
  <si>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</si>
  <si>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</si>
  <si>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</si>
  <si>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</si>
  <si>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</si>
  <si>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</si>
  <si>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</si>
  <si>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</si>
  <si>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</si>
  <si>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</si>
  <si>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</si>
  <si>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</si>
  <si>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</si>
  <si>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</si>
  <si>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</si>
  <si>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</si>
  <si>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</si>
  <si>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</si>
  <si>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</si>
  <si>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</si>
  <si>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</si>
  <si>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</si>
  <si>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</si>
  <si>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</si>
  <si>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</si>
  <si>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</si>
  <si>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</si>
  <si>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</si>
  <si>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</si>
  <si>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</si>
  <si>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</si>
  <si>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</si>
  <si>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</si>
  <si>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</si>
  <si>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</si>
  <si>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</si>
  <si>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</si>
  <si>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</si>
  <si>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</si>
  <si>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</si>
  <si>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</si>
  <si>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</si>
  <si>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</si>
  <si>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</si>
  <si>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</si>
  <si>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</si>
  <si>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</si>
  <si>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</si>
  <si>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</si>
  <si>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</si>
  <si>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</si>
  <si>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</si>
  <si>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</si>
  <si>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</si>
  <si>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</si>
  <si>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</si>
  <si>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</si>
  <si>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</si>
  <si>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</si>
  <si>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</si>
  <si>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</si>
  <si>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</si>
  <si>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</si>
  <si>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</si>
  <si>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</si>
  <si>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</si>
  <si>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</si>
  <si>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</si>
  <si>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</si>
  <si>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</si>
  <si>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</si>
  <si>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</si>
  <si>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</si>
  <si>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</si>
  <si>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</si>
  <si>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</si>
  <si>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</si>
  <si>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</si>
  <si>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</si>
  <si>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</si>
  <si>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</si>
  <si>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</si>
  <si>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</si>
  <si>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</si>
  <si>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</si>
  <si>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</si>
  <si>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</si>
  <si>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</si>
  <si>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</si>
  <si>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</si>
  <si>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</si>
  <si>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</si>
  <si>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</si>
  <si>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</si>
  <si>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</si>
  <si>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</si>
  <si>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</si>
  <si>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</si>
  <si>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</si>
  <si>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</si>
  <si>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</si>
  <si>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</si>
  <si>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</si>
  <si>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</si>
  <si>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</si>
  <si>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</si>
  <si>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</si>
  <si>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</si>
  <si>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</si>
  <si>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</si>
  <si>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</si>
  <si>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</si>
  <si>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</si>
  <si>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</si>
  <si>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</si>
  <si>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</si>
  <si>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</si>
  <si>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</si>
  <si>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</si>
  <si>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</si>
  <si>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</si>
  <si>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</si>
  <si>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</si>
  <si>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</si>
  <si>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</si>
  <si>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</si>
  <si>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</si>
  <si>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</si>
  <si>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</si>
  <si>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</si>
  <si>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</si>
  <si>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</si>
  <si>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</si>
  <si>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</si>
  <si>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</si>
  <si>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</si>
  <si>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</si>
  <si>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</si>
  <si>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</si>
  <si>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</si>
  <si>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</si>
  <si>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</si>
  <si>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</si>
  <si>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</si>
  <si>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</si>
  <si>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</si>
  <si>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</si>
  <si>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</si>
  <si>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</si>
  <si>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</si>
  <si>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</si>
  <si>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</si>
  <si>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</si>
  <si>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</si>
  <si>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</si>
  <si>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</si>
  <si>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</si>
  <si>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</si>
  <si>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</si>
  <si>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</si>
  <si>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</si>
  <si>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</si>
  <si>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</si>
  <si>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</si>
  <si>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</si>
  <si>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</si>
  <si>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</si>
  <si>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</si>
  <si>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</si>
  <si>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</si>
  <si>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</si>
  <si>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</si>
  <si>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</si>
  <si>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</si>
  <si>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</si>
  <si>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</si>
  <si>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</si>
  <si>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</si>
  <si>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</si>
  <si>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</si>
  <si>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</si>
  <si>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</si>
  <si>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</si>
  <si>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</si>
  <si>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</si>
  <si>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</si>
  <si>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</si>
  <si>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</si>
  <si>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</si>
  <si>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</si>
  <si>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</si>
  <si>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</si>
  <si>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</si>
  <si>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</si>
  <si>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</si>
  <si>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</si>
  <si>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</si>
  <si>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</si>
  <si>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</si>
  <si>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</si>
  <si>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</si>
  <si>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</si>
  <si>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</si>
  <si>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</si>
  <si>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</si>
  <si>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</si>
  <si>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</si>
  <si>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</si>
  <si>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</si>
  <si>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</si>
  <si>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</si>
  <si>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</si>
  <si>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</si>
  <si>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</si>
  <si>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</si>
  <si>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</si>
  <si>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</si>
  <si>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</si>
  <si>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</si>
  <si>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</si>
  <si>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</si>
  <si>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</si>
  <si>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</si>
  <si>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</si>
  <si>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</si>
  <si>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</si>
  <si>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</si>
  <si>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</si>
  <si>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</si>
  <si>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</si>
  <si>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</si>
  <si>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</si>
  <si>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</si>
  <si>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</si>
  <si>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</si>
  <si>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</si>
  <si>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</si>
  <si>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</si>
  <si>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</si>
  <si>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</si>
  <si>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</si>
  <si>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</si>
  <si>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</si>
  <si>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</si>
  <si>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</si>
  <si>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</si>
  <si>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</si>
  <si>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</si>
  <si>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</si>
  <si>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</si>
  <si>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</si>
  <si>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</si>
  <si>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</si>
  <si>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</si>
  <si>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</si>
  <si>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</si>
  <si>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</si>
  <si>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</si>
  <si>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</si>
  <si>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</si>
  <si>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</si>
  <si>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</si>
  <si>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</si>
  <si>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</si>
  <si>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</si>
  <si>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</si>
  <si>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</si>
  <si>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</si>
  <si>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</si>
  <si>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</si>
  <si>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</si>
  <si>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</si>
  <si>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</si>
  <si>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</si>
  <si>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</si>
  <si>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</si>
  <si>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</si>
  <si>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</si>
  <si>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</si>
  <si>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</si>
  <si>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</si>
  <si>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</si>
  <si>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</si>
  <si>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</si>
  <si>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</si>
  <si>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</si>
  <si>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</si>
  <si>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</si>
  <si>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</si>
  <si>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</si>
  <si>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</si>
  <si>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</si>
  <si>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</si>
  <si>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</si>
  <si>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</si>
  <si>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</si>
  <si>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</si>
  <si>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</si>
  <si>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</si>
  <si>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</si>
  <si>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</si>
  <si>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</si>
  <si>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</si>
  <si>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</si>
  <si>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</si>
  <si>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</si>
  <si>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</si>
  <si>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</si>
  <si>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</si>
  <si>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</si>
  <si>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</si>
  <si>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</si>
  <si>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</si>
  <si>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</si>
  <si>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</si>
  <si>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</si>
  <si>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</si>
  <si>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</si>
  <si>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</si>
  <si>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</si>
  <si>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</si>
  <si>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</si>
  <si>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</si>
  <si>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</si>
  <si>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</si>
  <si>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</si>
  <si>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</si>
  <si>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</si>
  <si>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</si>
  <si>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</si>
  <si>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</si>
  <si>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</si>
  <si>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</si>
  <si>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</si>
  <si>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</si>
  <si>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</si>
  <si>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</si>
  <si>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</si>
  <si>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</si>
  <si>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</si>
  <si>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</si>
  <si>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</si>
  <si>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</si>
  <si>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</si>
  <si>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</si>
  <si>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</si>
  <si>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</si>
  <si>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</si>
  <si>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</si>
  <si>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</si>
  <si>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</si>
  <si>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</si>
  <si>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</si>
  <si>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</si>
  <si>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</si>
  <si>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</si>
  <si>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</si>
  <si>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</si>
  <si>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</si>
  <si>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</si>
  <si>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</si>
  <si>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</si>
  <si>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</si>
  <si>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</si>
  <si>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</si>
  <si>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</si>
  <si>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</si>
  <si>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</si>
  <si>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</si>
  <si>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</si>
  <si>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</si>
  <si>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</si>
  <si>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</si>
  <si>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</si>
  <si>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</si>
  <si>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</si>
  <si>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</si>
  <si>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</si>
  <si>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</si>
  <si>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</si>
  <si>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</si>
  <si>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</si>
  <si>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</si>
  <si>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</si>
  <si>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</si>
  <si>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</si>
  <si>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</si>
  <si>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</si>
  <si>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</si>
  <si>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</si>
  <si>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</si>
  <si>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</si>
  <si>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</si>
  <si>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</si>
  <si>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</si>
  <si>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</si>
  <si>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</si>
  <si>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</si>
  <si>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</si>
  <si>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</si>
  <si>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</si>
  <si>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</si>
  <si>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</si>
  <si>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</si>
  <si>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</si>
  <si>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</si>
  <si>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</si>
  <si>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</si>
  <si>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</si>
  <si>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</si>
  <si>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</si>
  <si>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</si>
  <si>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</si>
  <si>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</si>
  <si>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</si>
  <si>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</si>
  <si>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</si>
  <si>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</si>
  <si>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</si>
  <si>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</si>
  <si>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</si>
  <si>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</si>
  <si>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</si>
  <si>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</si>
  <si>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</si>
  <si>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</si>
  <si>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</si>
  <si>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</si>
  <si>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</si>
  <si>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</si>
  <si>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</si>
  <si>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</si>
  <si>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</si>
  <si>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</si>
  <si>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</si>
  <si>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</si>
  <si>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</si>
  <si>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</si>
  <si>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</si>
  <si>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</si>
  <si>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</si>
  <si>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</si>
  <si>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</si>
  <si>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</si>
  <si>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</si>
  <si>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</si>
  <si>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</si>
  <si>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</si>
  <si>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</si>
  <si>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</si>
  <si>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</si>
  <si>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</si>
  <si>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</si>
  <si>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</si>
  <si>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</si>
  <si>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</si>
  <si>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</si>
  <si>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</si>
  <si>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</si>
  <si>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</si>
  <si>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</si>
  <si>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</si>
  <si>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</si>
  <si>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</si>
  <si>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</si>
  <si>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</si>
  <si>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</si>
  <si>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</si>
  <si>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</si>
  <si>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</si>
  <si>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</si>
  <si>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</si>
  <si>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</si>
  <si>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</si>
  <si>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</si>
  <si>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</si>
  <si>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</si>
  <si>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</si>
  <si>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</si>
  <si>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</si>
  <si>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</si>
  <si>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</si>
  <si>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</si>
  <si>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</si>
  <si>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</si>
  <si>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</si>
  <si>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</si>
  <si>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</si>
  <si>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</si>
  <si>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</si>
  <si>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</si>
  <si>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</si>
  <si>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</si>
  <si>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</si>
  <si>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</si>
  <si>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</si>
  <si>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</si>
  <si>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</si>
  <si>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</si>
  <si>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</si>
  <si>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</si>
  <si>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</si>
  <si>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</si>
  <si>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</si>
  <si>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</si>
  <si>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</si>
  <si>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</si>
  <si>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</si>
  <si>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</si>
  <si>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</si>
  <si>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</si>
  <si>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</si>
  <si>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</si>
  <si>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</si>
  <si>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</si>
  <si>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</si>
  <si>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</si>
  <si>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</si>
  <si>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</si>
  <si>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</si>
  <si>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</si>
  <si>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</si>
  <si>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</si>
  <si>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</si>
  <si>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</si>
  <si>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</si>
  <si>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</si>
  <si>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</si>
  <si>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</si>
  <si>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</si>
  <si>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</si>
  <si>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</si>
  <si>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</si>
  <si>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</si>
  <si>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</si>
  <si>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</si>
  <si>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</si>
  <si>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</si>
  <si>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</si>
  <si>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</si>
  <si>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</si>
  <si>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</si>
  <si>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</si>
  <si>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</si>
  <si>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</si>
  <si>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</si>
  <si>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</si>
  <si>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</si>
  <si>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</si>
  <si>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</si>
  <si>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</si>
  <si>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</si>
  <si>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</si>
  <si>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</si>
  <si>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</si>
  <si>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</si>
  <si>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</si>
  <si>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</si>
  <si>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</si>
  <si>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</si>
  <si>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</si>
  <si>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</si>
  <si>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</si>
  <si>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</si>
  <si>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</si>
  <si>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</si>
  <si>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</si>
  <si>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</si>
  <si>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</si>
  <si>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</si>
  <si>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</si>
  <si>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</si>
  <si>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</si>
  <si>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</si>
  <si>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</si>
  <si>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</si>
  <si>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</si>
  <si>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</si>
  <si>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</si>
  <si>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</si>
  <si>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</si>
  <si>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</si>
  <si>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</si>
  <si>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</si>
  <si>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</si>
  <si>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</si>
  <si>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</si>
  <si>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</si>
  <si>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</si>
  <si>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</si>
  <si>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</si>
  <si>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</si>
  <si>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</si>
  <si>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</si>
  <si>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</si>
  <si>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</si>
  <si>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</si>
  <si>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</si>
  <si>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</si>
  <si>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</si>
  <si>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</si>
  <si>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</si>
  <si>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</si>
  <si>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</si>
  <si>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</si>
  <si>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</si>
  <si>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</si>
  <si>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</si>
  <si>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</si>
  <si>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</si>
  <si>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</si>
  <si>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</si>
  <si>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</si>
  <si>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</si>
  <si>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</si>
  <si>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</si>
  <si>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</si>
  <si>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</si>
  <si>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</si>
  <si>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</si>
  <si>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</si>
  <si>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</si>
  <si>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</si>
  <si>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</si>
  <si>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</si>
  <si>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</si>
  <si>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</si>
  <si>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</si>
  <si>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</si>
  <si>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</si>
  <si>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</si>
  <si>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</si>
  <si>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</si>
  <si>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</si>
  <si>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</si>
  <si>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</si>
  <si>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</si>
  <si>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</si>
  <si>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</si>
  <si>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</si>
  <si>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</si>
  <si>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</si>
  <si>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</si>
  <si>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</si>
  <si>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</si>
  <si>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</si>
  <si>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</si>
  <si>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</si>
  <si>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</si>
  <si>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</si>
  <si>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</si>
  <si>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</si>
  <si>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</si>
  <si>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</si>
  <si>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</si>
  <si>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</si>
  <si>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</si>
  <si>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</si>
  <si>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</si>
  <si>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</si>
  <si>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</si>
  <si>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</si>
  <si>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</si>
  <si>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</si>
  <si>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</si>
  <si>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</si>
  <si>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</si>
  <si>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</si>
  <si>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</si>
  <si>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</si>
  <si>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</si>
  <si>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</si>
  <si>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</si>
  <si>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</si>
  <si>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</si>
  <si>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</si>
  <si>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203419564</t>
  </si>
  <si>
    <t>Веска Спасова Марешка</t>
  </si>
  <si>
    <t>гр. Варна, бул. "Република", сграда на МЦ "Младост" Варна</t>
  </si>
  <si>
    <t>pharmhold@gmail.com</t>
  </si>
  <si>
    <t>052 555 505</t>
  </si>
  <si>
    <t>052 555 542</t>
  </si>
  <si>
    <t>ФАРМХОЛД АД</t>
  </si>
  <si>
    <t>Веска Марешка</t>
  </si>
  <si>
    <t>www.pharmhold.bg</t>
  </si>
  <si>
    <t>самостоятелно</t>
  </si>
  <si>
    <t>"СИТИ" ООД Весела Георгиева - управител</t>
  </si>
  <si>
    <t>INVESTOR.BG</t>
  </si>
  <si>
    <t>01.01.2019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</si>
</sst>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.00\ &quot;лв&quot;_-;\-* #,##0.00\ &quot;лв&quot;_-;_-* &quot;-&quot;??\ &quot;лв&quot;_-;_-@_-"/>
    <numFmt numFmtId="181" formatCode="dd/m/yyyy\ &quot;г.&quot;;@"/>
    <numFmt numFmtId="18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1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1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82" fontId="10" fillId="36" borderId="0" xfId="0" applyNumberFormat="1" applyFont="1" applyFill="1" applyAlignment="1">
      <alignment/>
    </xf>
    <xf numFmtId="182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1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6" fillId="0" borderId="0" xfId="54" applyAlignment="1" applyProtection="1">
      <alignment/>
      <protection/>
    </xf>
    <xf numFmtId="0" fontId="4" fillId="0" borderId="0" xfId="65" applyFont="1" applyAlignment="1" applyProtection="1">
      <alignment vertical="top" wrapText="1"/>
      <protection locked="0"/>
    </xf>
    <xf numFmtId="181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44209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"СИТИ" ООД Весела Георгиева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44209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700" t="s">
        <v>991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2043</v>
      </c>
      <c r="D6" s="675">
        <f aca="true" t="shared" si="0" ref="D6:D15">C6-E6</f>
        <v>0</v>
      </c>
      <c r="E6" s="674">
        <f>'1-Баланс'!G95</f>
        <v>2043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2038</v>
      </c>
      <c r="D7" s="675">
        <f t="shared" si="0"/>
        <v>48</v>
      </c>
      <c r="E7" s="674">
        <f>'1-Баланс'!G18</f>
        <v>1990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55</v>
      </c>
      <c r="D8" s="675">
        <f t="shared" si="0"/>
        <v>55</v>
      </c>
      <c r="E8" s="674">
        <f>ABS('2-Отчет за доходите'!C44)-ABS('2-Отчет за доходите'!G44)</f>
        <v>0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135</v>
      </c>
      <c r="D10" s="675">
        <f t="shared" si="0"/>
        <v>0</v>
      </c>
      <c r="E10" s="674">
        <f>'3-Отчет за паричния поток'!C46</f>
        <v>135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2038</v>
      </c>
      <c r="D11" s="675">
        <f t="shared" si="0"/>
        <v>0</v>
      </c>
      <c r="E11" s="674">
        <f>'4-Отчет за собствения капитал'!L34</f>
        <v>2038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0.4330708661417323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0.026987242394504417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0.02692119432207538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0.8242811501597445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47.6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47.6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0.06216348507097406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0.0024533856722276743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0.0024473813020068525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1781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1781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24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1805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99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103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134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135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238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2043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66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66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-55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2038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26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264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264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312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313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313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313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127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127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131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131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258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55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258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55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55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55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-60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190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190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130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135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33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33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4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4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-55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2093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2093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-55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2038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2038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1781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1781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1781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24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99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99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103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1908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469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469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469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469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1781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1781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1781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24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-370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-370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4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-366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1439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185"/>
  <sheetViews>
    <sheetView zoomScale="75" zoomScaleNormal="75" zoomScaleSheetLayoutView="80" zoomScalePageLayoutView="0" workbookViewId="0" topLeftCell="A52">
      <selection activeCell="E67" sqref="E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37</v>
      </c>
      <c r="H22" s="614">
        <f>SUM(H23:H25)</f>
        <v>33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</v>
      </c>
      <c r="H23" s="197">
        <v>33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</v>
      </c>
      <c r="H26" s="598">
        <f>H20+H21+H22</f>
        <v>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66</v>
      </c>
      <c r="H28" s="596">
        <f>SUM(H29:H31)</f>
        <v>32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66</v>
      </c>
      <c r="H29" s="197">
        <v>32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-55</v>
      </c>
      <c r="H32" s="197">
        <v>38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</v>
      </c>
      <c r="H34" s="598">
        <f>H28+H32+H33</f>
        <v>70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2038</v>
      </c>
      <c r="H37" s="600">
        <f>H26+H18+H34</f>
        <v>2093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7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1781</v>
      </c>
      <c r="D48" s="197">
        <v>1667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1781</v>
      </c>
      <c r="D52" s="598">
        <f>SUM(D48:D51)</f>
        <v>1667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24</v>
      </c>
      <c r="D55" s="478">
        <v>24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1805</v>
      </c>
      <c r="D56" s="602">
        <f>D20+D21+D22+D28+D33+D46+D52+D54+D55</f>
        <v>1691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7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99</v>
      </c>
      <c r="D68" s="197">
        <v>409</v>
      </c>
      <c r="E68" s="89" t="s">
        <v>212</v>
      </c>
      <c r="F68" s="93" t="s">
        <v>213</v>
      </c>
      <c r="G68" s="197"/>
      <c r="H68" s="197">
        <v>9</v>
      </c>
    </row>
    <row r="69" spans="1:8" ht="15.75">
      <c r="A69" s="89" t="s">
        <v>210</v>
      </c>
      <c r="B69" s="91" t="s">
        <v>211</v>
      </c>
      <c r="C69" s="197">
        <v>4</v>
      </c>
      <c r="D69" s="197">
        <v>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</v>
      </c>
      <c r="H71" s="598">
        <f>H59+H60+H61+H69+H70</f>
        <v>16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103</v>
      </c>
      <c r="D76" s="598">
        <f>SUM(D68:D75)</f>
        <v>413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</v>
      </c>
      <c r="H79" s="600">
        <f>H71+H73+H75+H77</f>
        <v>16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134</v>
      </c>
      <c r="D89" s="197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135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238</v>
      </c>
      <c r="D94" s="602">
        <f>D65+D76+D85+D92+D93</f>
        <v>418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2043</v>
      </c>
      <c r="D95" s="604">
        <f>D94+D56</f>
        <v>2109</v>
      </c>
      <c r="E95" s="229" t="s">
        <v>942</v>
      </c>
      <c r="F95" s="489" t="s">
        <v>268</v>
      </c>
      <c r="G95" s="603">
        <f>G37+G40+G56+G79</f>
        <v>2043</v>
      </c>
      <c r="H95" s="604">
        <f>H37+H40+H56+H79</f>
        <v>2109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44209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Весела Георгиева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5"/>
      <c r="B103" s="701" t="s">
        <v>995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363"/>
  <sheetViews>
    <sheetView zoomScale="73" zoomScaleNormal="73" zoomScaleSheetLayoutView="93" zoomScalePageLayoutView="0" workbookViewId="0" topLeftCell="A1">
      <selection activeCell="D41" sqref="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</v>
      </c>
      <c r="D13" s="317">
        <v>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26</v>
      </c>
      <c r="D15" s="317">
        <v>26</v>
      </c>
      <c r="E15" s="245" t="s">
        <v>79</v>
      </c>
      <c r="F15" s="240" t="s">
        <v>289</v>
      </c>
      <c r="G15" s="316">
        <v>127</v>
      </c>
      <c r="H15" s="317">
        <v>6</v>
      </c>
    </row>
    <row r="16" spans="1:8" ht="15.75">
      <c r="A16" s="194" t="s">
        <v>290</v>
      </c>
      <c r="B16" s="190" t="s">
        <v>291</v>
      </c>
      <c r="C16" s="316">
        <v>8</v>
      </c>
      <c r="D16" s="317">
        <v>7</v>
      </c>
      <c r="E16" s="236" t="s">
        <v>52</v>
      </c>
      <c r="F16" s="264" t="s">
        <v>292</v>
      </c>
      <c r="G16" s="628">
        <f>SUM(G12:G15)</f>
        <v>127</v>
      </c>
      <c r="H16" s="629">
        <f>SUM(H12:H15)</f>
        <v>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264</v>
      </c>
      <c r="D19" s="317">
        <v>45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264</v>
      </c>
      <c r="D20" s="317">
        <v>45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312</v>
      </c>
      <c r="D22" s="629">
        <f>SUM(D12:D18)+D19</f>
        <v>94</v>
      </c>
      <c r="E22" s="194" t="s">
        <v>309</v>
      </c>
      <c r="F22" s="237" t="s">
        <v>310</v>
      </c>
      <c r="G22" s="316">
        <v>131</v>
      </c>
      <c r="H22" s="317">
        <v>131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131</v>
      </c>
      <c r="H27" s="629">
        <f>SUM(H22:H26)</f>
        <v>131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313</v>
      </c>
      <c r="D31" s="635">
        <f>D29+D22</f>
        <v>95</v>
      </c>
      <c r="E31" s="251" t="s">
        <v>824</v>
      </c>
      <c r="F31" s="266" t="s">
        <v>331</v>
      </c>
      <c r="G31" s="253">
        <f>G16+G18+G27</f>
        <v>258</v>
      </c>
      <c r="H31" s="254">
        <f>H16+H18+H27</f>
        <v>137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42</v>
      </c>
      <c r="E33" s="233" t="s">
        <v>334</v>
      </c>
      <c r="F33" s="238" t="s">
        <v>335</v>
      </c>
      <c r="G33" s="628">
        <f>IF((C31-G31)&gt;0,C31-G31,0)</f>
        <v>55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313</v>
      </c>
      <c r="D36" s="637">
        <f>D31-D34+D35</f>
        <v>95</v>
      </c>
      <c r="E36" s="262" t="s">
        <v>346</v>
      </c>
      <c r="F36" s="256" t="s">
        <v>347</v>
      </c>
      <c r="G36" s="267">
        <f>G35-G34+G31</f>
        <v>258</v>
      </c>
      <c r="H36" s="268">
        <f>H35-H34+H31</f>
        <v>137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42</v>
      </c>
      <c r="E37" s="261" t="s">
        <v>350</v>
      </c>
      <c r="F37" s="266" t="s">
        <v>351</v>
      </c>
      <c r="G37" s="253">
        <f>IF((C36-G36)&gt;0,C36-G36,0)</f>
        <v>55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38</v>
      </c>
      <c r="E42" s="247" t="s">
        <v>362</v>
      </c>
      <c r="F42" s="195" t="s">
        <v>363</v>
      </c>
      <c r="G42" s="241">
        <f>IF(G37&gt;0,IF(C38+G37&lt;0,0,C38+G37),IF(C37-C38&lt;0,C38-C37,0))</f>
        <v>55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>
        <v>55</v>
      </c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313</v>
      </c>
      <c r="D45" s="631">
        <f>D36+D38+D42</f>
        <v>137</v>
      </c>
      <c r="E45" s="270" t="s">
        <v>373</v>
      </c>
      <c r="F45" s="272" t="s">
        <v>374</v>
      </c>
      <c r="G45" s="630">
        <f>G42+G36</f>
        <v>313</v>
      </c>
      <c r="H45" s="631">
        <f>H42+H36</f>
        <v>137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44209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Весела Георгиева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01"/>
  <sheetViews>
    <sheetView zoomScale="80" zoomScaleNormal="80" zoomScaleSheetLayoutView="80" zoomScalePageLayoutView="0" workbookViewId="0" topLeftCell="A25">
      <selection activeCell="C28" sqref="C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-17</v>
      </c>
      <c r="D12" s="197">
        <v>-13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</v>
      </c>
      <c r="D14" s="197">
        <v>-33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</v>
      </c>
      <c r="D16" s="197">
        <v>-7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-60</v>
      </c>
      <c r="D21" s="659">
        <f>SUM(D11:D20)</f>
        <v>-54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190</v>
      </c>
      <c r="D27" s="197">
        <v>57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190</v>
      </c>
      <c r="D33" s="659">
        <f>SUM(D23:D32)</f>
        <v>57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130</v>
      </c>
      <c r="D44" s="307">
        <f>D43+D33+D21</f>
        <v>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135</v>
      </c>
      <c r="D46" s="311">
        <f>D45+D44</f>
        <v>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44209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Весела Георгиева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535"/>
  <sheetViews>
    <sheetView view="pageBreakPreview" zoomScale="80" zoomScaleSheetLayoutView="80" zoomScalePageLayoutView="0" workbookViewId="0" topLeftCell="A1">
      <selection activeCell="F21" sqref="F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33</v>
      </c>
      <c r="G13" s="584">
        <f>'1-Баланс'!H24</f>
        <v>0</v>
      </c>
      <c r="H13" s="585"/>
      <c r="I13" s="584">
        <f>'1-Баланс'!H29+'1-Баланс'!H32</f>
        <v>70</v>
      </c>
      <c r="J13" s="584">
        <f>'1-Баланс'!H30+'1-Баланс'!H33</f>
        <v>0</v>
      </c>
      <c r="K13" s="585"/>
      <c r="L13" s="584">
        <f>SUM(C13:K13)</f>
        <v>2093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33</v>
      </c>
      <c r="G17" s="653">
        <f t="shared" si="2"/>
        <v>0</v>
      </c>
      <c r="H17" s="653">
        <f t="shared" si="2"/>
        <v>0</v>
      </c>
      <c r="I17" s="653">
        <f t="shared" si="2"/>
        <v>70</v>
      </c>
      <c r="J17" s="653">
        <f t="shared" si="2"/>
        <v>0</v>
      </c>
      <c r="K17" s="653">
        <f t="shared" si="2"/>
        <v>0</v>
      </c>
      <c r="L17" s="584">
        <f t="shared" si="1"/>
        <v>2093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-55</v>
      </c>
      <c r="J18" s="584">
        <f>+'1-Баланс'!G33</f>
        <v>0</v>
      </c>
      <c r="K18" s="585"/>
      <c r="L18" s="584">
        <f t="shared" si="1"/>
        <v>-55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</v>
      </c>
      <c r="G19" s="168">
        <f t="shared" si="3"/>
        <v>0</v>
      </c>
      <c r="H19" s="168">
        <f t="shared" si="3"/>
        <v>0</v>
      </c>
      <c r="I19" s="168">
        <f t="shared" si="3"/>
        <v>-4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4</v>
      </c>
      <c r="G21" s="316"/>
      <c r="H21" s="316"/>
      <c r="I21" s="316">
        <v>-4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</v>
      </c>
      <c r="G31" s="653">
        <f t="shared" si="6"/>
        <v>0</v>
      </c>
      <c r="H31" s="653">
        <f t="shared" si="6"/>
        <v>0</v>
      </c>
      <c r="I31" s="653">
        <f t="shared" si="6"/>
        <v>11</v>
      </c>
      <c r="J31" s="653">
        <f t="shared" si="6"/>
        <v>0</v>
      </c>
      <c r="K31" s="653">
        <f t="shared" si="6"/>
        <v>0</v>
      </c>
      <c r="L31" s="584">
        <f t="shared" si="1"/>
        <v>2038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37</v>
      </c>
      <c r="G34" s="587">
        <f t="shared" si="7"/>
        <v>0</v>
      </c>
      <c r="H34" s="587">
        <f t="shared" si="7"/>
        <v>0</v>
      </c>
      <c r="I34" s="587">
        <f t="shared" si="7"/>
        <v>11</v>
      </c>
      <c r="J34" s="587">
        <f t="shared" si="7"/>
        <v>0</v>
      </c>
      <c r="K34" s="587">
        <f t="shared" si="7"/>
        <v>0</v>
      </c>
      <c r="L34" s="651">
        <f t="shared" si="1"/>
        <v>2038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44209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Весела Георгиева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62"/>
  <sheetViews>
    <sheetView zoomScale="89" zoomScaleNormal="89" zoomScaleSheetLayoutView="70" zoomScalePageLayoutView="0" workbookViewId="0" topLeftCell="A73">
      <selection activeCell="H23" sqref="H2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44209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Весела Георгиева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G18" sqref="G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/>
      <c r="F30" s="328"/>
      <c r="G30" s="329">
        <f>D30+E30-F30</f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>D39+E39-F39</f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>E29+E34+E39</f>
        <v>0</v>
      </c>
      <c r="F40" s="330">
        <f aca="true" t="shared" si="10" ref="F40:P40">F29+F34+F39</f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44209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"СИТИ" ООД Весела Георгиева - управител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122"/>
  <sheetViews>
    <sheetView zoomScaleSheetLayoutView="106" zoomScalePageLayoutView="0" workbookViewId="0" topLeftCell="A19">
      <selection activeCell="C31" sqref="C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1781</v>
      </c>
      <c r="D13" s="362">
        <f>SUM(D14:D16)</f>
        <v>0</v>
      </c>
      <c r="E13" s="369">
        <f>SUM(E14:E16)</f>
        <v>1781</v>
      </c>
      <c r="F13" s="133"/>
    </row>
    <row r="14" spans="1:6" ht="15.75">
      <c r="A14" s="370" t="s">
        <v>596</v>
      </c>
      <c r="B14" s="135" t="s">
        <v>597</v>
      </c>
      <c r="C14" s="368">
        <v>1781</v>
      </c>
      <c r="D14" s="368"/>
      <c r="E14" s="369">
        <f aca="true" t="shared" si="0" ref="E14:E44">C14-D14</f>
        <v>1781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1781</v>
      </c>
      <c r="D21" s="440">
        <f>D13+D17+D18</f>
        <v>0</v>
      </c>
      <c r="E21" s="441">
        <f>E13+E17+E18</f>
        <v>1781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24</v>
      </c>
      <c r="D23" s="443"/>
      <c r="E23" s="442">
        <f t="shared" si="0"/>
        <v>24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99</v>
      </c>
      <c r="D26" s="362">
        <f>SUM(D27:D29)</f>
        <v>469</v>
      </c>
      <c r="E26" s="369">
        <f>SUM(E27:E29)</f>
        <v>-370</v>
      </c>
      <c r="F26" s="133"/>
    </row>
    <row r="27" spans="1:6" ht="15.75">
      <c r="A27" s="370" t="s">
        <v>617</v>
      </c>
      <c r="B27" s="135" t="s">
        <v>618</v>
      </c>
      <c r="C27" s="368">
        <v>99</v>
      </c>
      <c r="D27" s="368">
        <v>469</v>
      </c>
      <c r="E27" s="369">
        <f t="shared" si="0"/>
        <v>-370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</v>
      </c>
      <c r="D30" s="368"/>
      <c r="E30" s="369">
        <f t="shared" si="0"/>
        <v>4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103</v>
      </c>
      <c r="D45" s="438">
        <f>D26+D30+D31+D33+D32+D34+D35+D40</f>
        <v>469</v>
      </c>
      <c r="E45" s="439">
        <f>E26+E30+E31+E33+E32+E34+E35+E40</f>
        <v>-366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1908</v>
      </c>
      <c r="D46" s="444">
        <f>D45+D23+D21+D11</f>
        <v>469</v>
      </c>
      <c r="E46" s="445">
        <f>E45+E23+E21+E11</f>
        <v>1439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</v>
      </c>
      <c r="D74" s="197">
        <v>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</v>
      </c>
      <c r="D98" s="433">
        <f>D87+D82+D77+D73+D97</f>
        <v>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</v>
      </c>
      <c r="D99" s="427">
        <f>D98+D70+D68</f>
        <v>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44209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Весела Георгиева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1" t="s">
        <v>995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264"/>
  <sheetViews>
    <sheetView tabSelected="1" zoomScale="89" zoomScaleNormal="89" zoomScaleSheetLayoutView="85" workbookViewId="0" topLeftCell="A1">
      <selection activeCell="B34" sqref="B34:I3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44209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Весела Георгиева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2021-01-27T12:52:34Z</cp:lastPrinted>
  <dcterms:created xsi:type="dcterms:W3CDTF">2006-09-16T00:00:00Z</dcterms:created>
  <dcterms:modified xsi:type="dcterms:W3CDTF">2021-01-27T12:52:52Z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