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<sst xmlns="http://schemas.openxmlformats.org/spreadsheetml/2006/main" count="1064" uniqueCount="883">
  <si>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</si>
  <si>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</si>
  <si>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</si>
  <si>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</si>
  <si>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</si>
  <si>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</si>
  <si>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</si>
  <si>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</si>
  <si>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</si>
  <si>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</si>
  <si>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</si>
  <si>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</si>
  <si>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</si>
  <si>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</si>
  <si>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</si>
  <si>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</si>
  <si>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</si>
  <si>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</si>
  <si>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</si>
  <si>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</si>
  <si>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</si>
  <si>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</si>
  <si>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</si>
  <si>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</si>
  <si>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</si>
  <si>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</si>
  <si>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</si>
  <si>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</si>
  <si>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</si>
  <si>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</si>
  <si>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</si>
  <si>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</si>
  <si>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</si>
  <si>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</si>
  <si>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</si>
  <si>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</si>
  <si>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</si>
  <si>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</si>
  <si>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</si>
  <si>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</si>
  <si>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</si>
  <si>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</si>
  <si>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</si>
  <si>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</si>
  <si>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</si>
  <si>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</si>
  <si>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</si>
  <si>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</si>
  <si>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</si>
  <si>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</si>
  <si>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</si>
  <si>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</si>
  <si>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</si>
  <si>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</si>
  <si>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</si>
  <si>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</si>
  <si>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</si>
  <si>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</si>
  <si>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</si>
  <si>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</si>
  <si>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</si>
  <si>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</si>
  <si>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</si>
  <si>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</si>
  <si>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</si>
  <si>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</si>
  <si>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</si>
  <si>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</si>
  <si>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</si>
  <si>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</si>
  <si>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</si>
  <si>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</si>
  <si>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</si>
  <si>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</si>
  <si>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</si>
  <si>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</si>
  <si>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</si>
  <si>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</si>
  <si>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</si>
  <si>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</si>
  <si>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</si>
  <si>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</si>
  <si>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</si>
  <si>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</si>
  <si>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</si>
  <si>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</si>
  <si>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</si>
  <si>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</si>
  <si>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</si>
  <si>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</si>
  <si>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</si>
  <si>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</si>
  <si>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</si>
  <si>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</si>
  <si>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</si>
  <si>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</si>
  <si>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</si>
  <si>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</si>
  <si>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</si>
  <si>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</si>
  <si>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</si>
  <si>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</si>
  <si>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</si>
  <si>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</si>
  <si>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</si>
  <si>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</si>
  <si>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</si>
  <si>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</si>
  <si>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</si>
  <si>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</si>
  <si>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</si>
  <si>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</si>
  <si>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</si>
  <si>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</si>
  <si>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</si>
  <si>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</si>
  <si>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</si>
  <si>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</si>
  <si>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</si>
  <si>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</si>
  <si>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</si>
  <si>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</si>
  <si>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</si>
  <si>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</si>
  <si>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</si>
  <si>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</si>
  <si>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</si>
  <si>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</si>
  <si>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</si>
  <si>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</si>
  <si>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</si>
  <si>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</si>
  <si>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</si>
  <si>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</si>
  <si>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</si>
  <si>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</si>
  <si>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</si>
  <si>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</si>
  <si>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</si>
  <si>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</si>
  <si>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</si>
  <si>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</si>
  <si>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</si>
  <si>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</si>
  <si>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</si>
  <si>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</si>
  <si>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</si>
  <si>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</si>
  <si>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</si>
  <si>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</si>
  <si>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</si>
  <si>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</si>
  <si>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</si>
  <si>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</si>
  <si>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</si>
  <si>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</si>
  <si>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</si>
  <si>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</si>
  <si>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</si>
  <si>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</si>
  <si>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</si>
  <si>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</si>
  <si>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</si>
  <si>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</si>
  <si>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</si>
  <si>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</si>
  <si>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</si>
  <si>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</si>
  <si>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</si>
  <si>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</si>
  <si>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</si>
  <si>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</si>
  <si>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</si>
  <si>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</si>
  <si>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</si>
  <si>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</si>
  <si>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</si>
  <si>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</si>
  <si>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</si>
  <si>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</si>
  <si>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</si>
  <si>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</si>
  <si>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</si>
  <si>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</si>
  <si>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</si>
  <si>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</si>
  <si>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</si>
  <si>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</si>
  <si>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</si>
  <si>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</si>
  <si>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</si>
  <si>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</si>
  <si>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</si>
  <si>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</si>
  <si>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</si>
  <si>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</si>
  <si>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</si>
  <si>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</si>
  <si>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</si>
  <si>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</si>
  <si>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</si>
  <si>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</si>
  <si>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</si>
  <si>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</si>
  <si>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</si>
  <si>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</si>
  <si>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</si>
  <si>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</si>
  <si>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</si>
  <si>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</si>
  <si>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</si>
  <si>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</si>
  <si>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</si>
  <si>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</si>
  <si>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</si>
  <si>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</si>
  <si>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</si>
  <si>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</si>
  <si>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</si>
  <si>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</si>
  <si>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</si>
  <si>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</si>
  <si>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</si>
  <si>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</si>
  <si>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</si>
  <si>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</si>
  <si>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</si>
  <si>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</si>
  <si>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</si>
  <si>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</si>
  <si>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</si>
  <si>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</si>
  <si>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</si>
  <si>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</si>
  <si>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</si>
  <si>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</si>
  <si>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</si>
  <si>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</si>
  <si>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</si>
  <si>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</si>
  <si>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</si>
  <si>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</si>
  <si>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</si>
  <si>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</si>
  <si>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</si>
  <si>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</si>
  <si>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</si>
  <si>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</si>
  <si>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</si>
  <si>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</si>
  <si>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</si>
  <si>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</si>
  <si>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</si>
  <si>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</si>
  <si>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</si>
  <si>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</si>
  <si>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</si>
  <si>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</si>
  <si>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</si>
  <si>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</si>
  <si>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</si>
  <si>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</si>
  <si>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</si>
  <si>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</si>
  <si>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</si>
  <si>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</si>
  <si>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</si>
  <si>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</si>
  <si>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</si>
  <si>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</si>
  <si>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</si>
  <si>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</si>
  <si>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</si>
  <si>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</si>
  <si>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</si>
  <si>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</si>
  <si>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</si>
  <si>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</si>
  <si>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</si>
  <si>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</si>
  <si>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</si>
  <si>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</si>
  <si>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</si>
  <si>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</si>
  <si>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</si>
  <si>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</si>
  <si>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</si>
  <si>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</si>
  <si>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</si>
  <si>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</si>
  <si>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</si>
  <si>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</si>
  <si>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</si>
  <si>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</si>
  <si>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</si>
  <si>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</si>
  <si>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</si>
  <si>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</si>
  <si>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</si>
  <si>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</si>
  <si>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</si>
  <si>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</si>
  <si>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</si>
  <si>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</si>
  <si>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</si>
  <si>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</si>
  <si>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</si>
  <si>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</si>
  <si>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</si>
  <si>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</si>
  <si>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</si>
  <si>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</si>
  <si>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</si>
  <si>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</si>
  <si>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</si>
  <si>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</si>
  <si>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</si>
  <si>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</si>
  <si>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</si>
  <si>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</si>
  <si>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</si>
  <si>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</si>
  <si>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</si>
  <si>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</si>
  <si>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</si>
  <si>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</si>
  <si>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</si>
  <si>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</si>
  <si>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</si>
  <si>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</si>
  <si>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</si>
  <si>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</si>
  <si>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</si>
  <si>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</si>
  <si>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</si>
  <si>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</si>
  <si>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</si>
  <si>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</si>
  <si>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</si>
  <si>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</si>
  <si>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</si>
  <si>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</si>
  <si>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</si>
  <si>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</si>
  <si>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</si>
  <si>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</si>
  <si>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</si>
  <si>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</si>
  <si>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</si>
  <si>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</si>
  <si>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</si>
  <si>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</si>
  <si>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</si>
  <si>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</si>
  <si>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</si>
  <si>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</si>
  <si>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</si>
  <si>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</si>
  <si>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</si>
  <si>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</si>
  <si>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</si>
  <si>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</si>
  <si>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</si>
  <si>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</si>
  <si>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</si>
  <si>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</si>
  <si>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</si>
  <si>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</si>
  <si>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</si>
  <si>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</si>
  <si>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</si>
  <si>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</si>
  <si>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</si>
  <si>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</si>
  <si>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</si>
  <si>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</si>
  <si>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</si>
  <si>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</si>
  <si>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</si>
  <si>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</si>
  <si>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</si>
  <si>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</si>
  <si>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</si>
  <si>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</si>
  <si>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</si>
  <si>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</si>
  <si>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</si>
  <si>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</si>
  <si>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</si>
  <si>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</si>
  <si>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</si>
  <si>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</si>
  <si>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</si>
  <si>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</si>
  <si>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</si>
  <si>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</si>
  <si>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</si>
  <si>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</si>
  <si>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</si>
  <si>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</si>
  <si>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</si>
  <si>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</si>
  <si>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</si>
  <si>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</si>
  <si>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</si>
  <si>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</si>
  <si>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</si>
  <si>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</si>
  <si>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</si>
  <si>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</si>
  <si>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</si>
  <si>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</si>
  <si>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</si>
  <si>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</si>
  <si>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</si>
  <si>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</si>
  <si>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</si>
  <si>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</si>
  <si>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</si>
  <si>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</si>
  <si>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</si>
  <si>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</si>
  <si>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</si>
  <si>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</si>
  <si>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</si>
  <si>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</si>
  <si>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</si>
  <si>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</si>
  <si>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</si>
  <si>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</si>
  <si>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</si>
  <si>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</si>
  <si>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</si>
  <si>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</si>
  <si>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</si>
  <si>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</si>
  <si>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</si>
  <si>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</si>
  <si>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</si>
  <si>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</si>
  <si>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</si>
  <si>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</si>
  <si>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</si>
  <si>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</si>
  <si>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</si>
  <si>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</si>
  <si>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</si>
  <si>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</si>
  <si>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</si>
  <si>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</si>
  <si>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</si>
  <si>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</si>
  <si>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</si>
  <si>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</si>
  <si>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</si>
  <si>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</si>
  <si>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</si>
  <si>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</si>
  <si>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</si>
  <si>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</si>
  <si>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</si>
  <si>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</si>
  <si>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</si>
  <si>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</si>
  <si>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</si>
  <si>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</si>
  <si>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</si>
  <si>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</si>
  <si>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</si>
  <si>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</si>
  <si>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</si>
  <si>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</si>
  <si>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</si>
  <si>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</si>
  <si>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</si>
  <si>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</si>
  <si>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</si>
  <si>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</si>
  <si>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</si>
  <si>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</si>
  <si>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</si>
  <si>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</si>
  <si>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</si>
  <si>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</si>
  <si>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</si>
  <si>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</si>
  <si>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</si>
  <si>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</si>
  <si>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</si>
  <si>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</si>
  <si>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</si>
  <si>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</si>
  <si>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</si>
  <si>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</si>
  <si>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</si>
  <si>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</si>
  <si>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</si>
  <si>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</si>
  <si>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</si>
  <si>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</si>
  <si>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</si>
  <si>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</si>
  <si>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</si>
  <si>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</si>
  <si>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</si>
  <si>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</si>
  <si>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</si>
  <si>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</si>
  <si>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</si>
  <si>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</si>
  <si>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</si>
  <si>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</si>
  <si>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</si>
  <si>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</si>
  <si>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</si>
  <si>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</si>
  <si>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</si>
  <si>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</si>
  <si>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</si>
  <si>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</si>
  <si>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</si>
  <si>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</si>
  <si>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</si>
  <si>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</si>
  <si>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</si>
  <si>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</si>
  <si>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</si>
  <si>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</si>
  <si>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</si>
  <si>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</si>
  <si>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</si>
  <si>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</si>
  <si>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</si>
  <si>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</si>
  <si>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</si>
  <si>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</si>
  <si>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</si>
  <si>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</si>
  <si>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</si>
  <si>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</si>
  <si>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</si>
  <si>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</si>
  <si>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</si>
  <si>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</si>
  <si>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</si>
  <si>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</si>
  <si>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</si>
  <si>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</si>
  <si>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</si>
  <si>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</si>
  <si>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</si>
  <si>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</si>
  <si>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</si>
  <si>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</si>
  <si>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</si>
  <si>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</si>
  <si>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</si>
  <si>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</si>
  <si>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</si>
  <si>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</si>
  <si>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</si>
  <si>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</si>
  <si>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</si>
  <si>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</si>
  <si>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</si>
  <si>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</si>
  <si>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</si>
  <si>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</si>
  <si>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</si>
  <si>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</si>
  <si>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</si>
  <si>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</si>
  <si>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</si>
  <si>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</si>
  <si>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</si>
  <si>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</si>
  <si>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</si>
  <si>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</si>
  <si>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</si>
  <si>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</si>
  <si>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</si>
  <si>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</si>
  <si>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</si>
  <si>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</si>
  <si>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</si>
  <si>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</si>
  <si>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</si>
  <si>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</si>
  <si>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</si>
  <si>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</si>
  <si>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</si>
  <si>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</si>
  <si>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</si>
  <si>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</si>
  <si>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</si>
  <si>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</si>
  <si>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</si>
  <si>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</si>
  <si>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</si>
  <si>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</si>
  <si>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</si>
  <si>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</si>
  <si>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</si>
  <si>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</si>
  <si>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</si>
  <si>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</si>
  <si>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</si>
  <si>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</si>
  <si>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</si>
  <si>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</si>
  <si>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</si>
  <si>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</si>
  <si>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</si>
  <si>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</si>
  <si>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</si>
  <si>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</si>
  <si>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</si>
  <si>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</si>
  <si>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</si>
  <si>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</si>
  <si>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</si>
  <si>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</si>
  <si>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</si>
  <si>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</si>
  <si>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</si>
  <si>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</si>
  <si>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</si>
  <si>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</si>
  <si>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</si>
  <si>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</si>
  <si>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</si>
  <si>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</si>
  <si>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</si>
  <si>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</si>
  <si>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</si>
  <si>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</si>
  <si>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</si>
  <si>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</si>
  <si>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</si>
  <si>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</si>
  <si>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</si>
  <si>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</si>
  <si>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</si>
  <si>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</si>
  <si>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</si>
  <si>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</si>
  <si>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</si>
  <si>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</si>
  <si>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</si>
  <si>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</si>
  <si>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</si>
  <si>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</si>
  <si>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</si>
  <si>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</si>
  <si>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</si>
  <si>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</si>
  <si>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</si>
  <si>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</si>
  <si>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</si>
  <si>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</si>
  <si>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</si>
  <si>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</si>
  <si>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</si>
  <si>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</si>
  <si>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</si>
  <si>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</si>
  <si>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</si>
  <si>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</si>
  <si>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</si>
  <si>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</si>
  <si>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</si>
  <si>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</si>
  <si>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</si>
  <si>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</si>
  <si>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</si>
  <si>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</si>
  <si>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</si>
  <si>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</si>
  <si>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</si>
  <si>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</si>
  <si>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</si>
  <si>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</si>
  <si>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</si>
  <si>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</si>
  <si>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</si>
  <si>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</si>
  <si>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</si>
  <si>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</si>
  <si>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</si>
  <si>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</si>
  <si>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</si>
  <si>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</si>
  <si>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</si>
  <si>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</si>
  <si>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</si>
  <si>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</si>
  <si>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</si>
  <si>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</si>
  <si>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</si>
  <si>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</si>
  <si>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</si>
  <si>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</si>
  <si>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</si>
  <si>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</si>
  <si>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</si>
  <si>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</si>
  <si>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</si>
  <si>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</si>
  <si>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</si>
  <si>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</si>
  <si>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</si>
  <si>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</si>
  <si>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</si>
  <si>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</si>
  <si>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</si>
  <si>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</si>
  <si>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</si>
  <si>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</si>
  <si>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</si>
  <si>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</si>
  <si>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</si>
  <si>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</si>
  <si>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</si>
  <si>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</si>
  <si>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</si>
  <si>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</si>
  <si>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</si>
  <si>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</si>
  <si>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</si>
  <si>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</si>
  <si>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</si>
  <si>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</si>
  <si>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</si>
  <si>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</si>
  <si>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</si>
  <si>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</si>
  <si>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</si>
  <si>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</si>
  <si>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</si>
  <si>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</si>
  <si>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</si>
  <si>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</si>
  <si>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</si>
  <si>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</si>
  <si>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</si>
  <si>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</si>
  <si>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</si>
  <si>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</si>
  <si>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</si>
  <si>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</si>
  <si>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</si>
  <si>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</si>
  <si>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</si>
  <si>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</si>
  <si>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</si>
  <si>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</si>
  <si>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</si>
  <si>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</si>
  <si>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</si>
  <si>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</si>
  <si>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</si>
  <si>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</si>
  <si>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</si>
  <si>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</si>
  <si>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</si>
  <si>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</si>
  <si>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</si>
  <si>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</si>
  <si>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</si>
  <si>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</si>
  <si>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</si>
  <si>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</si>
  <si>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</si>
  <si>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</si>
  <si>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</si>
  <si>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</si>
  <si>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</si>
  <si>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</si>
  <si>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</si>
  <si>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</si>
  <si>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</si>
  <si>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</si>
  <si>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</si>
  <si>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</si>
  <si>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</si>
  <si>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</si>
  <si>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</si>
  <si>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</si>
  <si>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</si>
  <si>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</si>
  <si>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</si>
  <si>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</si>
  <si>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</si>
  <si>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</si>
  <si>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</si>
  <si>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</si>
  <si>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</si>
  <si>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</si>
  <si>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</si>
  <si>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</si>
  <si>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</si>
  <si>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</si>
  <si>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</si>
  <si>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</si>
  <si>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</si>
  <si>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</si>
  <si>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</si>
  <si>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</si>
  <si>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</si>
  <si>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</si>
  <si>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</si>
  <si>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</si>
  <si>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</si>
  <si>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</si>
  <si>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</si>
  <si>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</si>
  <si>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</si>
  <si>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</si>
  <si>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</si>
  <si>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</si>
  <si>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</si>
  <si>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</si>
  <si>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</si>
  <si>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</si>
  <si>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</si>
  <si>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</si>
  <si>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</si>
  <si>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</si>
  <si>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</si>
  <si>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</si>
  <si>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</si>
  <si>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</si>
  <si>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</si>
  <si>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</si>
  <si>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</si>
  <si>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</si>
  <si>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</si>
  <si>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</si>
  <si>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</si>
  <si>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</si>
  <si>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</si>
  <si>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</si>
  <si>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</si>
  <si>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</si>
  <si>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</si>
  <si>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</si>
  <si>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</si>
  <si>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</si>
  <si>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</si>
  <si>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</si>
  <si>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</si>
  <si>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</si>
  <si>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</si>
  <si>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</si>
  <si>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</si>
  <si>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</si>
  <si>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</si>
  <si>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</si>
  <si>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</si>
  <si>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</si>
  <si>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</si>
  <si>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</si>
  <si>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</si>
  <si>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</si>
  <si>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</si>
  <si>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"ОПТЕЛА ОПТИЧНИ ТЕХНОЛОГИИ" АД гр.ПЛОВДИВ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</si>
  <si>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</si>
  <si>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</si>
  <si>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</si>
  <si>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</si>
  <si>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</si>
  <si>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</si>
  <si>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</si>
  <si>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</si>
  <si>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4.Арбанаси АД</t>
  </si>
  <si>
    <t>Ив. Чакърова/</t>
  </si>
  <si>
    <t>И. Чакърова</t>
  </si>
  <si>
    <t>Ив. Чакърова</t>
  </si>
  <si>
    <t>КОНСОЛИДИРАН</t>
  </si>
  <si>
    <t>Дата на съставяне:15.02.2008 г</t>
  </si>
  <si>
    <t>Дата на съставяне: 15.02.2008</t>
  </si>
  <si>
    <t xml:space="preserve">Дата на съставяне:  15.02.2008                          </t>
  </si>
  <si>
    <t>Дата на съставяне:15.02.2008г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</si>
</sst>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44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 t="s">
        <v>869</v>
      </c>
    </row>
    <row r="4" spans="1:8" ht="15">
      <c r="A4" s="577" t="s">
        <v>864</v>
      </c>
      <c r="B4" s="583"/>
      <c r="C4" s="583"/>
      <c r="D4" s="583"/>
      <c r="E4" s="503" t="s">
        <v>878</v>
      </c>
      <c r="F4" s="579" t="s">
        <v>3</v>
      </c>
      <c r="G4" s="580"/>
      <c r="H4" s="460">
        <v>717</v>
      </c>
    </row>
    <row r="5" spans="1:8" ht="15">
      <c r="A5" s="577" t="s">
        <v>4</v>
      </c>
      <c r="B5" s="578"/>
      <c r="C5" s="578"/>
      <c r="D5" s="578"/>
      <c r="E5" s="504">
        <v>39447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>
        <v>238</v>
      </c>
      <c r="E11" s="237" t="s">
        <v>21</v>
      </c>
      <c r="F11" s="242" t="s">
        <v>22</v>
      </c>
      <c r="G11" s="152">
        <v>315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72</v>
      </c>
      <c r="D12" s="151">
        <v>1826</v>
      </c>
      <c r="E12" s="237" t="s">
        <v>25</v>
      </c>
      <c r="F12" s="242" t="s">
        <v>26</v>
      </c>
      <c r="G12" s="153">
        <v>315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151</v>
      </c>
      <c r="D13" s="151">
        <v>170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>
        <v>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25</v>
      </c>
      <c r="D16" s="151">
        <v>21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168</v>
      </c>
      <c r="D17" s="151">
        <v>347</v>
      </c>
      <c r="E17" s="243" t="s">
        <v>45</v>
      </c>
      <c r="F17" s="245" t="s">
        <v>46</v>
      </c>
      <c r="G17" s="154">
        <f>G11+G14+G15+G16</f>
        <v>315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</v>
      </c>
      <c r="D18" s="151">
        <v>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440</v>
      </c>
      <c r="D19" s="155">
        <f>SUM(D11:D18)</f>
        <v>2608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/>
      <c r="E20" s="237" t="s">
        <v>56</v>
      </c>
      <c r="F20" s="242" t="s">
        <v>57</v>
      </c>
      <c r="G20" s="158">
        <v>16</v>
      </c>
      <c r="H20" s="158">
        <v>16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3361</v>
      </c>
      <c r="H21" s="156">
        <f>SUM(H22:H24)</f>
        <v>3345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26</v>
      </c>
      <c r="H22" s="152">
        <v>24</v>
      </c>
    </row>
    <row r="23" spans="1:13" ht="15">
      <c r="A23" s="235" t="s">
        <v>65</v>
      </c>
      <c r="B23" s="241" t="s">
        <v>66</v>
      </c>
      <c r="C23" s="151">
        <v>1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</v>
      </c>
      <c r="E24" s="237" t="s">
        <v>71</v>
      </c>
      <c r="F24" s="242" t="s">
        <v>72</v>
      </c>
      <c r="G24" s="152">
        <v>3335</v>
      </c>
      <c r="H24" s="152">
        <v>3321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3377</v>
      </c>
      <c r="H25" s="154">
        <f>H19+H20+H21</f>
        <v>3361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-18</v>
      </c>
      <c r="H27" s="154">
        <f>SUM(H28:H30)</f>
        <v>-17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</v>
      </c>
      <c r="H28" s="152">
        <v>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-26</v>
      </c>
      <c r="H29" s="316">
        <v>-25</v>
      </c>
      <c r="M29" s="157"/>
    </row>
    <row r="30" spans="1:8" ht="15">
      <c r="A30" s="235" t="s">
        <v>89</v>
      </c>
      <c r="B30" s="241" t="s">
        <v>90</v>
      </c>
      <c r="C30" s="151">
        <v>62</v>
      </c>
      <c r="D30" s="151">
        <v>62</v>
      </c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9114</v>
      </c>
      <c r="H31" s="152">
        <v>15</v>
      </c>
      <c r="M31" s="157"/>
    </row>
    <row r="32" spans="1:15" ht="15">
      <c r="A32" s="235" t="s">
        <v>97</v>
      </c>
      <c r="B32" s="250" t="s">
        <v>98</v>
      </c>
      <c r="C32" s="155">
        <f>C30+C31</f>
        <v>62</v>
      </c>
      <c r="D32" s="155">
        <f>D30+D31</f>
        <v>62</v>
      </c>
      <c r="E32" s="243" t="s">
        <v>99</v>
      </c>
      <c r="F32" s="242" t="s">
        <v>100</v>
      </c>
      <c r="G32" s="316"/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9096</v>
      </c>
      <c r="H33" s="154">
        <f>H27+H31+H32</f>
        <v>-3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38</v>
      </c>
      <c r="D34" s="155">
        <f>SUM(D35:D38)</f>
        <v>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38</v>
      </c>
      <c r="D36" s="151">
        <v>58</v>
      </c>
      <c r="E36" s="237" t="s">
        <v>109</v>
      </c>
      <c r="F36" s="261" t="s">
        <v>110</v>
      </c>
      <c r="G36" s="154">
        <f>G25+G17+G33</f>
        <v>12788</v>
      </c>
      <c r="H36" s="154">
        <f>H25+H17+H33</f>
        <v>3673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181</v>
      </c>
      <c r="H43" s="152"/>
      <c r="M43" s="157"/>
    </row>
    <row r="44" spans="1:8" ht="15">
      <c r="A44" s="235" t="s">
        <v>131</v>
      </c>
      <c r="B44" s="264" t="s">
        <v>132</v>
      </c>
      <c r="C44" s="151">
        <v>2</v>
      </c>
      <c r="D44" s="151">
        <v>2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40</v>
      </c>
      <c r="D45" s="155">
        <f>D34+D39+D44</f>
        <v>60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101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181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101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13201</v>
      </c>
      <c r="D55" s="155">
        <f>D19+D20+D21+D27+D32+D45+D51+D53+D54</f>
        <v>2731</v>
      </c>
      <c r="E55" s="237" t="s">
        <v>171</v>
      </c>
      <c r="F55" s="261" t="s">
        <v>172</v>
      </c>
      <c r="G55" s="154">
        <f>G49+G51+G52+G53+G54</f>
        <v>1195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55</v>
      </c>
      <c r="D58" s="151">
        <v>129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13</v>
      </c>
      <c r="D60" s="151">
        <v>12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1522</v>
      </c>
      <c r="D61" s="151">
        <v>1430</v>
      </c>
      <c r="E61" s="243" t="s">
        <v>188</v>
      </c>
      <c r="F61" s="272" t="s">
        <v>189</v>
      </c>
      <c r="G61" s="154">
        <f>SUM(G62:G68)</f>
        <v>1291</v>
      </c>
      <c r="H61" s="154">
        <f>SUM(H62:H68)</f>
        <v>1096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182</v>
      </c>
      <c r="H62" s="152">
        <v>145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83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1599</v>
      </c>
      <c r="D64" s="155">
        <f>SUM(D58:D63)</f>
        <v>1580</v>
      </c>
      <c r="E64" s="237" t="s">
        <v>199</v>
      </c>
      <c r="F64" s="242" t="s">
        <v>200</v>
      </c>
      <c r="G64" s="152">
        <v>191</v>
      </c>
      <c r="H64" s="152">
        <v>113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339</v>
      </c>
      <c r="H65" s="152">
        <v>341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304</v>
      </c>
      <c r="H66" s="152">
        <v>317</v>
      </c>
    </row>
    <row r="67" spans="1:8" ht="15">
      <c r="A67" s="235" t="s">
        <v>206</v>
      </c>
      <c r="B67" s="241" t="s">
        <v>207</v>
      </c>
      <c r="C67" s="151">
        <v>342</v>
      </c>
      <c r="D67" s="151">
        <v>219</v>
      </c>
      <c r="E67" s="237" t="s">
        <v>208</v>
      </c>
      <c r="F67" s="242" t="s">
        <v>209</v>
      </c>
      <c r="G67" s="152">
        <v>117</v>
      </c>
      <c r="H67" s="152">
        <v>117</v>
      </c>
    </row>
    <row r="68" spans="1:8" ht="15">
      <c r="A68" s="235" t="s">
        <v>210</v>
      </c>
      <c r="B68" s="241" t="s">
        <v>211</v>
      </c>
      <c r="C68" s="151">
        <v>176</v>
      </c>
      <c r="D68" s="151">
        <v>105</v>
      </c>
      <c r="E68" s="237" t="s">
        <v>212</v>
      </c>
      <c r="F68" s="242" t="s">
        <v>213</v>
      </c>
      <c r="G68" s="152">
        <v>75</v>
      </c>
      <c r="H68" s="152">
        <v>63</v>
      </c>
    </row>
    <row r="69" spans="1:8" ht="15">
      <c r="A69" s="235" t="s">
        <v>214</v>
      </c>
      <c r="B69" s="241" t="s">
        <v>215</v>
      </c>
      <c r="C69" s="151">
        <v>51</v>
      </c>
      <c r="D69" s="151">
        <v>59</v>
      </c>
      <c r="E69" s="251" t="s">
        <v>77</v>
      </c>
      <c r="F69" s="242" t="s">
        <v>216</v>
      </c>
      <c r="G69" s="152">
        <v>288</v>
      </c>
      <c r="H69" s="152">
        <v>291</v>
      </c>
    </row>
    <row r="70" spans="1:8" ht="15">
      <c r="A70" s="235" t="s">
        <v>217</v>
      </c>
      <c r="B70" s="241" t="s">
        <v>218</v>
      </c>
      <c r="C70" s="151">
        <v>5</v>
      </c>
      <c r="D70" s="151"/>
      <c r="E70" s="237" t="s">
        <v>219</v>
      </c>
      <c r="F70" s="242" t="s">
        <v>220</v>
      </c>
      <c r="G70" s="152"/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1579</v>
      </c>
      <c r="H71" s="161">
        <f>H59+H60+H61+H69+H70</f>
        <v>1397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</v>
      </c>
      <c r="D72" s="151">
        <v>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182</v>
      </c>
      <c r="D74" s="151">
        <v>349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760</v>
      </c>
      <c r="D75" s="155">
        <f>SUM(D67:D74)</f>
        <v>735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1579</v>
      </c>
      <c r="H79" s="162">
        <f>H71+H74+H75+H76</f>
        <v>1397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23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1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</v>
      </c>
      <c r="D91" s="155">
        <f>SUM(D87:D90)</f>
        <v>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2361</v>
      </c>
      <c r="D93" s="155">
        <f>D64+D75+D84+D91+D92</f>
        <v>2339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15562</v>
      </c>
      <c r="D94" s="164">
        <f>D93+D55</f>
        <v>5070</v>
      </c>
      <c r="E94" s="449" t="s">
        <v>269</v>
      </c>
      <c r="F94" s="289" t="s">
        <v>270</v>
      </c>
      <c r="G94" s="165">
        <f>G36+G39+G55+G79</f>
        <v>15562</v>
      </c>
      <c r="H94" s="165">
        <f>H36+H39+H55+H79</f>
        <v>5070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 t="s">
        <v>875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1" spans="3:4" ht="12.75">
      <c r="C101" s="169" t="s">
        <v>868</v>
      </c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6">
      <selection activeCell="C11" sqref="C1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"ОПТЕЛА ОПТИЧНИ ТЕХНОЛОГИИ" АД гр.ПЛОВДИВ</v>
      </c>
      <c r="C2" s="586"/>
      <c r="D2" s="586"/>
      <c r="E2" s="586"/>
      <c r="F2" s="588" t="s">
        <v>2</v>
      </c>
      <c r="G2" s="588"/>
      <c r="H2" s="525" t="str">
        <f>'справка №1-БАЛАНС'!H3</f>
        <v>825397012Ю</v>
      </c>
    </row>
    <row r="3" spans="1:8" ht="15">
      <c r="A3" s="466" t="s">
        <v>274</v>
      </c>
      <c r="B3" s="586" t="str">
        <f>'справка №1-БАЛАНС'!E4</f>
        <v>КОНСОЛИДИРАН</v>
      </c>
      <c r="C3" s="586"/>
      <c r="D3" s="586"/>
      <c r="E3" s="586"/>
      <c r="F3" s="545" t="s">
        <v>3</v>
      </c>
      <c r="G3" s="526"/>
      <c r="H3" s="526">
        <f>'справка №1-БАЛАНС'!H4</f>
        <v>717</v>
      </c>
    </row>
    <row r="4" spans="1:8" ht="17.25" customHeight="1">
      <c r="A4" s="466" t="s">
        <v>4</v>
      </c>
      <c r="B4" s="587">
        <f>'справка №1-БАЛАНС'!E5</f>
        <v>39447</v>
      </c>
      <c r="C4" s="587"/>
      <c r="D4" s="587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244</v>
      </c>
      <c r="D9" s="46">
        <v>206</v>
      </c>
      <c r="E9" s="298" t="s">
        <v>284</v>
      </c>
      <c r="F9" s="548" t="s">
        <v>285</v>
      </c>
      <c r="G9" s="549">
        <v>304</v>
      </c>
      <c r="H9" s="549">
        <v>104</v>
      </c>
    </row>
    <row r="10" spans="1:8" ht="12">
      <c r="A10" s="298" t="s">
        <v>286</v>
      </c>
      <c r="B10" s="299" t="s">
        <v>287</v>
      </c>
      <c r="C10" s="46">
        <v>275</v>
      </c>
      <c r="D10" s="46">
        <v>262</v>
      </c>
      <c r="E10" s="298" t="s">
        <v>288</v>
      </c>
      <c r="F10" s="548" t="s">
        <v>289</v>
      </c>
      <c r="G10" s="549">
        <v>17</v>
      </c>
      <c r="H10" s="549">
        <v>1</v>
      </c>
    </row>
    <row r="11" spans="1:8" ht="12">
      <c r="A11" s="298" t="s">
        <v>290</v>
      </c>
      <c r="B11" s="299" t="s">
        <v>291</v>
      </c>
      <c r="C11" s="46">
        <v>67</v>
      </c>
      <c r="D11" s="46">
        <v>83</v>
      </c>
      <c r="E11" s="300" t="s">
        <v>292</v>
      </c>
      <c r="F11" s="548" t="s">
        <v>293</v>
      </c>
      <c r="G11" s="549">
        <v>43</v>
      </c>
      <c r="H11" s="549">
        <v>73</v>
      </c>
    </row>
    <row r="12" spans="1:8" ht="12">
      <c r="A12" s="298" t="s">
        <v>294</v>
      </c>
      <c r="B12" s="299" t="s">
        <v>295</v>
      </c>
      <c r="C12" s="46">
        <v>78</v>
      </c>
      <c r="D12" s="46">
        <v>56</v>
      </c>
      <c r="E12" s="300" t="s">
        <v>77</v>
      </c>
      <c r="F12" s="548" t="s">
        <v>296</v>
      </c>
      <c r="G12" s="549">
        <v>10465</v>
      </c>
      <c r="H12" s="549">
        <v>344</v>
      </c>
    </row>
    <row r="13" spans="1:18" ht="12">
      <c r="A13" s="298" t="s">
        <v>297</v>
      </c>
      <c r="B13" s="299" t="s">
        <v>298</v>
      </c>
      <c r="C13" s="46">
        <v>16</v>
      </c>
      <c r="D13" s="46">
        <v>9</v>
      </c>
      <c r="E13" s="301" t="s">
        <v>50</v>
      </c>
      <c r="F13" s="550" t="s">
        <v>299</v>
      </c>
      <c r="G13" s="547">
        <f>SUM(G9:G12)</f>
        <v>10829</v>
      </c>
      <c r="H13" s="547">
        <f>SUM(H9:H12)</f>
        <v>522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4</v>
      </c>
      <c r="D14" s="46">
        <v>7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-91</v>
      </c>
      <c r="D15" s="47">
        <v>-220</v>
      </c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84</v>
      </c>
      <c r="D16" s="47">
        <v>90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677</v>
      </c>
      <c r="D19" s="49">
        <f>SUM(D9:D15)+D16</f>
        <v>493</v>
      </c>
      <c r="E19" s="304" t="s">
        <v>316</v>
      </c>
      <c r="F19" s="551" t="s">
        <v>317</v>
      </c>
      <c r="G19" s="549">
        <v>12</v>
      </c>
      <c r="H19" s="549">
        <v>12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>
        <v>4</v>
      </c>
      <c r="H21" s="549"/>
    </row>
    <row r="22" spans="1:8" ht="24">
      <c r="A22" s="304" t="s">
        <v>323</v>
      </c>
      <c r="B22" s="305" t="s">
        <v>324</v>
      </c>
      <c r="C22" s="46">
        <v>39</v>
      </c>
      <c r="D22" s="46">
        <v>25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3" t="s">
        <v>333</v>
      </c>
      <c r="G24" s="547">
        <f>SUM(G19:G23)</f>
        <v>16</v>
      </c>
      <c r="H24" s="547">
        <f>SUM(H19:H23)</f>
        <v>12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1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40</v>
      </c>
      <c r="D26" s="49">
        <f>SUM(D22:D25)</f>
        <v>27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717</v>
      </c>
      <c r="D28" s="50">
        <f>D26+D19</f>
        <v>520</v>
      </c>
      <c r="E28" s="127" t="s">
        <v>338</v>
      </c>
      <c r="F28" s="553" t="s">
        <v>339</v>
      </c>
      <c r="G28" s="547">
        <f>G13+G15+G24</f>
        <v>10845</v>
      </c>
      <c r="H28" s="547">
        <f>H13+H15+H24</f>
        <v>534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10128</v>
      </c>
      <c r="D30" s="50">
        <f>IF((H28-D28)&gt;0,H28-D28,0)</f>
        <v>14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344</v>
      </c>
      <c r="C31" s="46"/>
      <c r="D31" s="46"/>
      <c r="E31" s="296" t="s">
        <v>855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717</v>
      </c>
      <c r="D33" s="49">
        <f>D28+D31+D32</f>
        <v>520</v>
      </c>
      <c r="E33" s="127" t="s">
        <v>352</v>
      </c>
      <c r="F33" s="553" t="s">
        <v>353</v>
      </c>
      <c r="G33" s="53">
        <f>G32+G31+G28</f>
        <v>10845</v>
      </c>
      <c r="H33" s="53">
        <f>H32+H31+H28</f>
        <v>534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10128</v>
      </c>
      <c r="D34" s="50">
        <f>IF((H33-D33)&gt;0,H33-D33,0)</f>
        <v>14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1014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1014</v>
      </c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9114</v>
      </c>
      <c r="D39" s="459">
        <f>+IF((H33-D33-D35)&gt;0,H33-D33-D35,0)</f>
        <v>14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IF(C39-C40&gt;0,C39-C40,0)</f>
        <v>9114</v>
      </c>
      <c r="D41" s="52">
        <f>IF(D39-D40&gt;0,D39-D40,0)</f>
        <v>14</v>
      </c>
      <c r="E41" s="127" t="s">
        <v>375</v>
      </c>
      <c r="F41" s="557" t="s">
        <v>376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10845</v>
      </c>
      <c r="D42" s="53">
        <f>D33+D35+D39</f>
        <v>534</v>
      </c>
      <c r="E42" s="128" t="s">
        <v>379</v>
      </c>
      <c r="F42" s="129" t="s">
        <v>380</v>
      </c>
      <c r="G42" s="53">
        <f>G39+G33</f>
        <v>10845</v>
      </c>
      <c r="H42" s="53">
        <f>H39+H33</f>
        <v>534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1">
        <v>39493</v>
      </c>
      <c r="C48" s="427" t="s">
        <v>381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876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5"/>
      <c r="E50" s="585"/>
      <c r="F50" s="585"/>
      <c r="G50" s="585"/>
      <c r="H50" s="585"/>
    </row>
    <row r="51" spans="1:8" ht="12">
      <c r="A51" s="563"/>
      <c r="B51" s="559"/>
      <c r="C51" s="425" t="s">
        <v>866</v>
      </c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0">
      <selection activeCell="B52" sqref="B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"ОПТЕЛА ОПТИЧНИ ТЕХНОЛОГИИ" АД гр.ПЛОВДИВ</v>
      </c>
      <c r="C4" s="540" t="s">
        <v>2</v>
      </c>
      <c r="D4" s="540" t="str">
        <f>'справка №1-БАЛАНС'!H3</f>
        <v>825397012Ю</v>
      </c>
      <c r="E4" s="323"/>
      <c r="F4" s="323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3</v>
      </c>
      <c r="D5" s="540">
        <f>'справка №1-БАЛАНС'!H4</f>
        <v>717</v>
      </c>
    </row>
    <row r="6" spans="1:6" ht="12" customHeight="1">
      <c r="A6" s="470" t="s">
        <v>4</v>
      </c>
      <c r="B6" s="505">
        <f>'справка №1-БАЛАНС'!E5</f>
        <v>39447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623</v>
      </c>
      <c r="D10" s="54">
        <v>629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-659</v>
      </c>
      <c r="D11" s="54">
        <v>-528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-116</v>
      </c>
      <c r="D13" s="54">
        <v>-27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</v>
      </c>
      <c r="D14" s="54">
        <v>-74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203</v>
      </c>
      <c r="D19" s="54">
        <v>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40</v>
      </c>
      <c r="D20" s="55">
        <f>SUM(D10:D19)</f>
        <v>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33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-95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24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4">
      <selection activeCell="I16" sqref="I16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"ОПТЕЛА ОПТИЧНИ ТЕХНОЛОГИИ" АД гр.ПЛОВДИВ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 t="str">
        <f>'справка №1-БАЛАНС'!H3</f>
        <v>825397012Ю</v>
      </c>
      <c r="N3" s="2"/>
    </row>
    <row r="4" spans="1:15" s="531" customFormat="1" ht="13.5" customHeight="1">
      <c r="A4" s="466" t="s">
        <v>460</v>
      </c>
      <c r="B4" s="574" t="str">
        <f>'справка №1-БАЛАНС'!E4</f>
        <v>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3</v>
      </c>
      <c r="L4" s="591"/>
      <c r="M4" s="477">
        <f>'справка №1-БАЛАНС'!H4</f>
        <v>717</v>
      </c>
      <c r="N4" s="3"/>
      <c r="O4" s="3"/>
    </row>
    <row r="5" spans="1:14" s="531" customFormat="1" ht="12.75" customHeight="1">
      <c r="A5" s="466" t="s">
        <v>4</v>
      </c>
      <c r="B5" s="592">
        <f>'справка №1-БАЛАНС'!E5</f>
        <v>39447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24</v>
      </c>
      <c r="G11" s="58">
        <f>'справка №1-БАЛАНС'!H23</f>
        <v>0</v>
      </c>
      <c r="H11" s="60">
        <v>3321</v>
      </c>
      <c r="I11" s="58">
        <f>'справка №1-БАЛАНС'!H28+'справка №1-БАЛАНС'!H31</f>
        <v>23</v>
      </c>
      <c r="J11" s="58">
        <f>'справка №1-БАЛАНС'!H29+'справка №1-БАЛАНС'!H32</f>
        <v>-26</v>
      </c>
      <c r="K11" s="60"/>
      <c r="L11" s="344">
        <f>SUM(C11:K11)</f>
        <v>3673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24</v>
      </c>
      <c r="G15" s="61">
        <f t="shared" si="2"/>
        <v>0</v>
      </c>
      <c r="H15" s="61">
        <f t="shared" si="2"/>
        <v>3321</v>
      </c>
      <c r="I15" s="61">
        <f t="shared" si="2"/>
        <v>23</v>
      </c>
      <c r="J15" s="61">
        <f t="shared" si="2"/>
        <v>-26</v>
      </c>
      <c r="K15" s="61">
        <f t="shared" si="2"/>
        <v>0</v>
      </c>
      <c r="L15" s="344">
        <f t="shared" si="1"/>
        <v>3673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9114</v>
      </c>
      <c r="J16" s="345">
        <f>+'справка №1-БАЛАНС'!G32</f>
        <v>0</v>
      </c>
      <c r="K16" s="60"/>
      <c r="L16" s="344">
        <f t="shared" si="1"/>
        <v>9114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</v>
      </c>
      <c r="G17" s="62">
        <f t="shared" si="3"/>
        <v>0</v>
      </c>
      <c r="H17" s="62">
        <f t="shared" si="3"/>
        <v>14</v>
      </c>
      <c r="I17" s="62">
        <f t="shared" si="3"/>
        <v>-15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8</v>
      </c>
      <c r="J18" s="60"/>
      <c r="K18" s="60"/>
      <c r="L18" s="344">
        <f t="shared" si="1"/>
        <v>8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2</v>
      </c>
      <c r="G19" s="60"/>
      <c r="H19" s="60">
        <v>14</v>
      </c>
      <c r="I19" s="60">
        <v>-23</v>
      </c>
      <c r="J19" s="60"/>
      <c r="K19" s="60"/>
      <c r="L19" s="344">
        <f t="shared" si="1"/>
        <v>-7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26</v>
      </c>
      <c r="G29" s="59">
        <f t="shared" si="6"/>
        <v>0</v>
      </c>
      <c r="H29" s="59">
        <f t="shared" si="6"/>
        <v>3335</v>
      </c>
      <c r="I29" s="59">
        <f t="shared" si="6"/>
        <v>9122</v>
      </c>
      <c r="J29" s="59">
        <f t="shared" si="6"/>
        <v>-26</v>
      </c>
      <c r="K29" s="59">
        <f t="shared" si="6"/>
        <v>0</v>
      </c>
      <c r="L29" s="344">
        <f t="shared" si="1"/>
        <v>12788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26</v>
      </c>
      <c r="G32" s="59">
        <f t="shared" si="7"/>
        <v>0</v>
      </c>
      <c r="H32" s="59">
        <f t="shared" si="7"/>
        <v>3335</v>
      </c>
      <c r="I32" s="59">
        <f t="shared" si="7"/>
        <v>9122</v>
      </c>
      <c r="J32" s="59">
        <f t="shared" si="7"/>
        <v>-26</v>
      </c>
      <c r="K32" s="59">
        <f t="shared" si="7"/>
        <v>0</v>
      </c>
      <c r="L32" s="344">
        <f t="shared" si="1"/>
        <v>12788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0">
        <v>39493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G4">
      <selection activeCell="K11" sqref="K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"ОПТЕЛА ОПТИЧНИ ТЕХНОЛОГИИ" АД гр.ПЛОВДИВ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 t="str">
        <f>'справка №1-БАЛАНС'!H3</f>
        <v>825397012Ю</v>
      </c>
      <c r="P2" s="482"/>
      <c r="Q2" s="482"/>
      <c r="R2" s="525"/>
    </row>
    <row r="3" spans="1:18" ht="15">
      <c r="A3" s="593" t="s">
        <v>4</v>
      </c>
      <c r="B3" s="594"/>
      <c r="C3" s="596">
        <f>'справка №1-БАЛАНС'!E5</f>
        <v>39447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3</v>
      </c>
      <c r="N3" s="597"/>
      <c r="O3" s="481">
        <f>'справка №1-БАЛАНС'!H4</f>
        <v>717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238</v>
      </c>
      <c r="E9" s="189"/>
      <c r="F9" s="189">
        <v>227</v>
      </c>
      <c r="G9" s="74">
        <f>D9+E9-F9</f>
        <v>11</v>
      </c>
      <c r="H9" s="65"/>
      <c r="I9" s="65"/>
      <c r="J9" s="74">
        <f>G9+H9-I9</f>
        <v>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2101</v>
      </c>
      <c r="E10" s="189">
        <v>382</v>
      </c>
      <c r="F10" s="189">
        <v>2311</v>
      </c>
      <c r="G10" s="74">
        <f aca="true" t="shared" si="2" ref="G10:G39">D10+E10-F10</f>
        <v>172</v>
      </c>
      <c r="H10" s="65"/>
      <c r="I10" s="65"/>
      <c r="J10" s="74">
        <f aca="true" t="shared" si="3" ref="J10:J39">G10+H10-I10</f>
        <v>172</v>
      </c>
      <c r="K10" s="65">
        <v>273</v>
      </c>
      <c r="L10" s="65">
        <v>26</v>
      </c>
      <c r="M10" s="65">
        <v>199</v>
      </c>
      <c r="N10" s="74">
        <f aca="true" t="shared" si="4" ref="N10:N39">K10+L10-M10</f>
        <v>100</v>
      </c>
      <c r="O10" s="65"/>
      <c r="P10" s="65"/>
      <c r="Q10" s="74">
        <f t="shared" si="0"/>
        <v>100</v>
      </c>
      <c r="R10" s="74">
        <f t="shared" si="1"/>
        <v>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1405</v>
      </c>
      <c r="E11" s="189">
        <v>11</v>
      </c>
      <c r="F11" s="189">
        <v>268</v>
      </c>
      <c r="G11" s="74">
        <f t="shared" si="2"/>
        <v>1148</v>
      </c>
      <c r="H11" s="65"/>
      <c r="I11" s="65"/>
      <c r="J11" s="74">
        <f t="shared" si="3"/>
        <v>1148</v>
      </c>
      <c r="K11" s="65">
        <v>1235</v>
      </c>
      <c r="L11" s="65">
        <v>29</v>
      </c>
      <c r="M11" s="65">
        <v>267</v>
      </c>
      <c r="N11" s="74">
        <f t="shared" si="4"/>
        <v>997</v>
      </c>
      <c r="O11" s="65"/>
      <c r="P11" s="65"/>
      <c r="Q11" s="74">
        <f t="shared" si="0"/>
        <v>997</v>
      </c>
      <c r="R11" s="74">
        <f t="shared" si="1"/>
        <v>151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49</v>
      </c>
      <c r="E13" s="189"/>
      <c r="F13" s="189"/>
      <c r="G13" s="74">
        <f t="shared" si="2"/>
        <v>49</v>
      </c>
      <c r="H13" s="65"/>
      <c r="I13" s="65"/>
      <c r="J13" s="74">
        <f t="shared" si="3"/>
        <v>49</v>
      </c>
      <c r="K13" s="65">
        <v>46</v>
      </c>
      <c r="L13" s="65">
        <v>1</v>
      </c>
      <c r="M13" s="65"/>
      <c r="N13" s="74">
        <f t="shared" si="4"/>
        <v>47</v>
      </c>
      <c r="O13" s="65"/>
      <c r="P13" s="65"/>
      <c r="Q13" s="74">
        <f t="shared" si="0"/>
        <v>47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85</v>
      </c>
      <c r="E14" s="189">
        <v>13</v>
      </c>
      <c r="F14" s="189"/>
      <c r="G14" s="74">
        <f t="shared" si="2"/>
        <v>98</v>
      </c>
      <c r="H14" s="65"/>
      <c r="I14" s="65"/>
      <c r="J14" s="74">
        <f t="shared" si="3"/>
        <v>98</v>
      </c>
      <c r="K14" s="65">
        <v>65</v>
      </c>
      <c r="L14" s="65">
        <v>8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>
        <v>348</v>
      </c>
      <c r="E15" s="456">
        <v>356</v>
      </c>
      <c r="F15" s="456">
        <v>536</v>
      </c>
      <c r="G15" s="74">
        <f t="shared" si="2"/>
        <v>168</v>
      </c>
      <c r="H15" s="457"/>
      <c r="I15" s="457"/>
      <c r="J15" s="74">
        <f t="shared" si="3"/>
        <v>168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168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63</v>
      </c>
      <c r="E16" s="189">
        <v>12</v>
      </c>
      <c r="F16" s="189"/>
      <c r="G16" s="74">
        <f t="shared" si="2"/>
        <v>75</v>
      </c>
      <c r="H16" s="65"/>
      <c r="I16" s="65"/>
      <c r="J16" s="74">
        <f t="shared" si="3"/>
        <v>75</v>
      </c>
      <c r="K16" s="65">
        <v>62</v>
      </c>
      <c r="L16" s="65">
        <v>2</v>
      </c>
      <c r="M16" s="65"/>
      <c r="N16" s="74">
        <f t="shared" si="4"/>
        <v>64</v>
      </c>
      <c r="O16" s="65"/>
      <c r="P16" s="65"/>
      <c r="Q16" s="74">
        <f aca="true" t="shared" si="5" ref="Q16:Q25">N16+O16-P16</f>
        <v>64</v>
      </c>
      <c r="R16" s="74">
        <f aca="true" t="shared" si="6" ref="R16:R25">J16-Q16</f>
        <v>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4289</v>
      </c>
      <c r="E17" s="194">
        <f>SUM(E9:E16)</f>
        <v>774</v>
      </c>
      <c r="F17" s="194">
        <f>SUM(F9:F16)</f>
        <v>3342</v>
      </c>
      <c r="G17" s="74">
        <f t="shared" si="2"/>
        <v>1721</v>
      </c>
      <c r="H17" s="75">
        <f>SUM(H9:H16)</f>
        <v>0</v>
      </c>
      <c r="I17" s="75">
        <f>SUM(I9:I16)</f>
        <v>0</v>
      </c>
      <c r="J17" s="74">
        <f t="shared" si="3"/>
        <v>1721</v>
      </c>
      <c r="K17" s="75">
        <f>SUM(K9:K16)</f>
        <v>1681</v>
      </c>
      <c r="L17" s="75">
        <f>SUM(L9:L16)</f>
        <v>66</v>
      </c>
      <c r="M17" s="75">
        <f>SUM(M9:M16)</f>
        <v>466</v>
      </c>
      <c r="N17" s="74">
        <f t="shared" si="4"/>
        <v>1281</v>
      </c>
      <c r="O17" s="75">
        <f>SUM(O9:O16)</f>
        <v>0</v>
      </c>
      <c r="P17" s="75">
        <f>SUM(P9:P16)</f>
        <v>0</v>
      </c>
      <c r="Q17" s="74">
        <f t="shared" si="5"/>
        <v>1281</v>
      </c>
      <c r="R17" s="74">
        <f t="shared" si="6"/>
        <v>440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2334</v>
      </c>
      <c r="F18" s="187"/>
      <c r="G18" s="74">
        <f t="shared" si="2"/>
        <v>2334</v>
      </c>
      <c r="H18" s="63">
        <v>10223</v>
      </c>
      <c r="I18" s="63"/>
      <c r="J18" s="74">
        <f t="shared" si="3"/>
        <v>12557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60</v>
      </c>
      <c r="E21" s="189">
        <v>1</v>
      </c>
      <c r="F21" s="189"/>
      <c r="G21" s="74">
        <f t="shared" si="2"/>
        <v>61</v>
      </c>
      <c r="H21" s="65"/>
      <c r="I21" s="65"/>
      <c r="J21" s="74">
        <f t="shared" si="3"/>
        <v>61</v>
      </c>
      <c r="K21" s="65">
        <v>60</v>
      </c>
      <c r="L21" s="65"/>
      <c r="M21" s="65"/>
      <c r="N21" s="74">
        <f t="shared" si="4"/>
        <v>60</v>
      </c>
      <c r="O21" s="65"/>
      <c r="P21" s="65"/>
      <c r="Q21" s="74">
        <f t="shared" si="5"/>
        <v>60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74</v>
      </c>
      <c r="L25" s="66">
        <f t="shared" si="7"/>
        <v>1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38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38</v>
      </c>
      <c r="H27" s="70">
        <f t="shared" si="8"/>
        <v>0</v>
      </c>
      <c r="I27" s="70">
        <f t="shared" si="8"/>
        <v>0</v>
      </c>
      <c r="J27" s="71">
        <f t="shared" si="3"/>
        <v>38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>
        <v>38</v>
      </c>
      <c r="E29" s="189"/>
      <c r="F29" s="189"/>
      <c r="G29" s="74">
        <f t="shared" si="2"/>
        <v>38</v>
      </c>
      <c r="H29" s="72"/>
      <c r="I29" s="72"/>
      <c r="J29" s="74">
        <f t="shared" si="3"/>
        <v>38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2</v>
      </c>
      <c r="E37" s="189"/>
      <c r="F37" s="189"/>
      <c r="G37" s="74">
        <f t="shared" si="2"/>
        <v>2</v>
      </c>
      <c r="H37" s="72"/>
      <c r="I37" s="72"/>
      <c r="J37" s="74">
        <f t="shared" si="3"/>
        <v>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40</v>
      </c>
      <c r="H38" s="75">
        <f t="shared" si="12"/>
        <v>0</v>
      </c>
      <c r="I38" s="75">
        <f t="shared" si="12"/>
        <v>0</v>
      </c>
      <c r="J38" s="74">
        <f t="shared" si="3"/>
        <v>40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>
        <v>62</v>
      </c>
      <c r="E39" s="189"/>
      <c r="F39" s="189"/>
      <c r="G39" s="74">
        <f t="shared" si="2"/>
        <v>62</v>
      </c>
      <c r="H39" s="72"/>
      <c r="I39" s="72"/>
      <c r="J39" s="74">
        <f t="shared" si="3"/>
        <v>62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62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4466</v>
      </c>
      <c r="E40" s="438">
        <f>E17+E18+E19+E25+E38+E39</f>
        <v>3109</v>
      </c>
      <c r="F40" s="438">
        <f aca="true" t="shared" si="13" ref="F40:R40">F17+F18+F19+F25+F38+F39</f>
        <v>3342</v>
      </c>
      <c r="G40" s="438">
        <f t="shared" si="13"/>
        <v>4233</v>
      </c>
      <c r="H40" s="438">
        <f t="shared" si="13"/>
        <v>10223</v>
      </c>
      <c r="I40" s="438">
        <f t="shared" si="13"/>
        <v>0</v>
      </c>
      <c r="J40" s="438">
        <f t="shared" si="13"/>
        <v>14456</v>
      </c>
      <c r="K40" s="438">
        <f t="shared" si="13"/>
        <v>1755</v>
      </c>
      <c r="L40" s="438">
        <f t="shared" si="13"/>
        <v>67</v>
      </c>
      <c r="M40" s="438">
        <f t="shared" si="13"/>
        <v>466</v>
      </c>
      <c r="N40" s="438">
        <f t="shared" si="13"/>
        <v>1356</v>
      </c>
      <c r="O40" s="438">
        <f t="shared" si="13"/>
        <v>0</v>
      </c>
      <c r="P40" s="438">
        <f t="shared" si="13"/>
        <v>0</v>
      </c>
      <c r="Q40" s="438">
        <f t="shared" si="13"/>
        <v>1356</v>
      </c>
      <c r="R40" s="438">
        <f t="shared" si="13"/>
        <v>13100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0">
      <selection activeCell="D110" sqref="D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5" t="str">
        <f>'справка №1-БАЛАНС'!E3</f>
        <v>"ОПТЕЛА ОПТИЧНИ ТЕХНОЛОГИИ" АД гр.ПЛОВДИВ</v>
      </c>
      <c r="C3" s="616"/>
      <c r="D3" s="525" t="s">
        <v>2</v>
      </c>
      <c r="E3" s="107" t="str">
        <f>'справка №1-БАЛАНС'!H3</f>
        <v>825397012Ю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3">
        <f>'справка №1-БАЛАНС'!E5</f>
        <v>39447</v>
      </c>
      <c r="C4" s="614"/>
      <c r="D4" s="526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101</v>
      </c>
      <c r="D11" s="119">
        <f>SUM(D12:D14)</f>
        <v>101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101</v>
      </c>
      <c r="D12" s="108">
        <v>101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</v>
      </c>
      <c r="D16" s="119">
        <f>+D17+D18</f>
        <v>0</v>
      </c>
      <c r="E16" s="120">
        <f t="shared" si="0"/>
        <v>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103</v>
      </c>
      <c r="D19" s="104">
        <f>D11+D15+D16</f>
        <v>101</v>
      </c>
      <c r="E19" s="118">
        <f>E11+E15+E16</f>
        <v>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342</v>
      </c>
      <c r="D24" s="119">
        <f>SUM(D25:D27)</f>
        <v>342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342</v>
      </c>
      <c r="D26" s="108">
        <v>342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176</v>
      </c>
      <c r="D28" s="108">
        <v>176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51</v>
      </c>
      <c r="D29" s="108">
        <v>51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182</v>
      </c>
      <c r="D38" s="105">
        <f>SUM(D39:D42)</f>
        <v>182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182</v>
      </c>
      <c r="D42" s="108">
        <v>182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760</v>
      </c>
      <c r="D43" s="104">
        <f>D24+D28+D29+D31+D30+D32+D33+D38</f>
        <v>760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863</v>
      </c>
      <c r="D44" s="103">
        <f>D43+D21+D19+D9</f>
        <v>861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181</v>
      </c>
      <c r="D52" s="103">
        <f>SUM(D53:D55)</f>
        <v>0</v>
      </c>
      <c r="E52" s="119">
        <f>C52-D52</f>
        <v>181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181</v>
      </c>
      <c r="D53" s="108"/>
      <c r="E53" s="119">
        <f>C53-D53</f>
        <v>181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181</v>
      </c>
      <c r="D66" s="103">
        <f>D52+D56+D61+D62+D63+D64</f>
        <v>0</v>
      </c>
      <c r="E66" s="119">
        <f t="shared" si="1"/>
        <v>181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182</v>
      </c>
      <c r="D71" s="105">
        <f>SUM(D72:D74)</f>
        <v>182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182</v>
      </c>
      <c r="D72" s="108">
        <v>182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1109</v>
      </c>
      <c r="D85" s="104">
        <f>SUM(D86:D90)+D94</f>
        <v>1109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83</v>
      </c>
      <c r="D86" s="108">
        <v>83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191</v>
      </c>
      <c r="D87" s="108">
        <v>191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339</v>
      </c>
      <c r="D88" s="108">
        <v>339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304</v>
      </c>
      <c r="D89" s="108">
        <v>304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75</v>
      </c>
      <c r="D90" s="103">
        <f>SUM(D91:D93)</f>
        <v>75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75</v>
      </c>
      <c r="D93" s="108">
        <v>75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117</v>
      </c>
      <c r="D94" s="108">
        <v>117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288</v>
      </c>
      <c r="D95" s="108">
        <v>288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1579</v>
      </c>
      <c r="D96" s="104">
        <f>D85+D80+D75+D71+D95</f>
        <v>1579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1760</v>
      </c>
      <c r="D97" s="104">
        <f>D96+D68+D66</f>
        <v>1579</v>
      </c>
      <c r="E97" s="104">
        <f>E96+E68+E66</f>
        <v>181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879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3">
      <selection activeCell="C45" sqref="C45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17" t="str">
        <f>'справка №1-БАЛАНС'!E3</f>
        <v>"ОПТЕЛА ОПТИЧНИ ТЕХНОЛОГИИ" АД гр.ПЛОВДИВ</v>
      </c>
      <c r="C4" s="617"/>
      <c r="D4" s="617"/>
      <c r="E4" s="617"/>
      <c r="F4" s="617"/>
      <c r="G4" s="623" t="s">
        <v>2</v>
      </c>
      <c r="H4" s="623"/>
      <c r="I4" s="499" t="str">
        <f>'справка №1-БАЛАНС'!H3</f>
        <v>825397012Ю</v>
      </c>
    </row>
    <row r="5" spans="1:9" ht="15">
      <c r="A5" s="500" t="s">
        <v>4</v>
      </c>
      <c r="B5" s="618">
        <f>'справка №1-БАЛАНС'!E5</f>
        <v>39447</v>
      </c>
      <c r="C5" s="618"/>
      <c r="D5" s="618"/>
      <c r="E5" s="618"/>
      <c r="F5" s="618"/>
      <c r="G5" s="621" t="s">
        <v>3</v>
      </c>
      <c r="H5" s="622"/>
      <c r="I5" s="499">
        <f>'справка №1-БАЛАНС'!H4</f>
        <v>717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>
        <v>29</v>
      </c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29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882</v>
      </c>
      <c r="B30" s="620"/>
      <c r="C30" s="620"/>
      <c r="D30" s="458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D159" sqref="D159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"ОПТЕЛА ОПТИЧНИ ТЕХНОЛОГИИ" АД гр.ПЛОВДИВ</v>
      </c>
      <c r="C5" s="624"/>
      <c r="D5" s="624"/>
      <c r="E5" s="569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5">
        <f>'справка №1-БАЛАНС'!E5</f>
        <v>39447</v>
      </c>
      <c r="C6" s="625"/>
      <c r="D6" s="509"/>
      <c r="E6" s="568" t="s">
        <v>3</v>
      </c>
      <c r="F6" s="510">
        <f>'справка №1-БАЛАНС'!H4</f>
        <v>717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22</v>
      </c>
      <c r="D46" s="441"/>
      <c r="E46" s="441"/>
      <c r="F46" s="443">
        <f>C46-E46</f>
        <v>22</v>
      </c>
    </row>
    <row r="47" spans="1:6" ht="12.75">
      <c r="A47" s="36" t="s">
        <v>872</v>
      </c>
      <c r="B47" s="40"/>
      <c r="C47" s="441">
        <v>2</v>
      </c>
      <c r="D47" s="441"/>
      <c r="E47" s="441"/>
      <c r="F47" s="443">
        <f aca="true" t="shared" si="2" ref="F47:F60">C47-E47</f>
        <v>2</v>
      </c>
    </row>
    <row r="48" spans="1:6" ht="12.75">
      <c r="A48" s="36" t="s">
        <v>873</v>
      </c>
      <c r="B48" s="40"/>
      <c r="C48" s="441">
        <v>1</v>
      </c>
      <c r="D48" s="441"/>
      <c r="E48" s="441"/>
      <c r="F48" s="443">
        <f t="shared" si="2"/>
        <v>1</v>
      </c>
    </row>
    <row r="49" spans="1:6" ht="12.75">
      <c r="A49" s="36" t="s">
        <v>874</v>
      </c>
      <c r="B49" s="40"/>
      <c r="C49" s="441">
        <v>13</v>
      </c>
      <c r="D49" s="441"/>
      <c r="E49" s="441"/>
      <c r="F49" s="443">
        <f t="shared" si="2"/>
        <v>13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38</v>
      </c>
      <c r="D61" s="429"/>
      <c r="E61" s="429">
        <f>SUM(E46:E60)</f>
        <v>0</v>
      </c>
      <c r="F61" s="442">
        <f>SUM(F46:F60)</f>
        <v>38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2</v>
      </c>
      <c r="D78" s="429"/>
      <c r="E78" s="429">
        <f>SUM(E63:E77)</f>
        <v>0</v>
      </c>
      <c r="F78" s="442">
        <f>SUM(F63:F77)</f>
        <v>2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40</v>
      </c>
      <c r="D79" s="429"/>
      <c r="E79" s="429">
        <f>E78+E61+E44+E27</f>
        <v>0</v>
      </c>
      <c r="F79" s="442">
        <f>F78+F61+F44+F27</f>
        <v>40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6" t="s">
        <v>849</v>
      </c>
      <c r="D151" s="626"/>
      <c r="E151" s="626"/>
      <c r="F151" s="626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6" t="s">
        <v>857</v>
      </c>
      <c r="D153" s="626"/>
      <c r="E153" s="626"/>
      <c r="F153" s="626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2008-02-27T09:20:13Z</cp:lastPrinted>
  <dcterms:created xsi:type="dcterms:W3CDTF">2000-06-29T12:02:40Z</dcterms:created>
  <dcterms:modified xsi:type="dcterms:W3CDTF">2008-02-27T09:20:23Z</dcterms:modified>
  <cp:category/>
  <cp:version/>
  <cp:contentType/>
  <cp:contentStatus/>
</cp:coreProperties>
</file>