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<sst xmlns="http://schemas.openxmlformats.org/spreadsheetml/2006/main" count="1058" uniqueCount="884">
  <si>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</si>
  <si>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</si>
  <si>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</si>
  <si>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</si>
  <si>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</si>
  <si>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</si>
  <si>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</si>
  <si>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</si>
  <si>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</si>
  <si>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</si>
  <si>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</si>
  <si>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</si>
  <si>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</si>
  <si>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</si>
  <si>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</si>
  <si>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</si>
  <si>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</si>
  <si>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</si>
  <si>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</si>
  <si>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</si>
  <si>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</si>
  <si>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</si>
  <si>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</si>
  <si>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</si>
  <si>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</si>
  <si>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</si>
  <si>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</si>
  <si>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</si>
  <si>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</si>
  <si>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</si>
  <si>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</si>
  <si>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</si>
  <si>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</si>
  <si>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</si>
  <si>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</si>
  <si>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</si>
  <si>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</si>
  <si>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</si>
  <si>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</si>
  <si>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</si>
  <si>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</si>
  <si>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</si>
  <si>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</si>
  <si>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</si>
  <si>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</si>
  <si>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</si>
  <si>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</si>
  <si>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</si>
  <si>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</si>
  <si>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</si>
  <si>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</si>
  <si>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</si>
  <si>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</si>
  <si>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</si>
  <si>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</si>
  <si>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</si>
  <si>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</si>
  <si>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</si>
  <si>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</si>
  <si>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</si>
  <si>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</si>
  <si>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</si>
  <si>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</si>
  <si>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</si>
  <si>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</si>
  <si>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</si>
  <si>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</si>
  <si>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</si>
  <si>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</si>
  <si>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</si>
  <si>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</si>
  <si>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</si>
  <si>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</si>
  <si>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</si>
  <si>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</si>
  <si>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</si>
  <si>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</si>
  <si>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</si>
  <si>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</si>
  <si>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</si>
  <si>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</si>
  <si>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</si>
  <si>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</si>
  <si>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</si>
  <si>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</si>
  <si>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</si>
  <si>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</si>
  <si>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</si>
  <si>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</si>
  <si>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</si>
  <si>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</si>
  <si>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</si>
  <si>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</si>
  <si>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</si>
  <si>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</si>
  <si>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</si>
  <si>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</si>
  <si>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</si>
  <si>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</si>
  <si>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</si>
  <si>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</si>
  <si>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</si>
  <si>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</si>
  <si>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</si>
  <si>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</si>
  <si>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</si>
  <si>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</si>
  <si>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</si>
  <si>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</si>
  <si>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</si>
  <si>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</si>
  <si>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</si>
  <si>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</si>
  <si>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</si>
  <si>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</si>
  <si>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</si>
  <si>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</si>
  <si>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</si>
  <si>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</si>
  <si>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</si>
  <si>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</si>
  <si>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</si>
  <si>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</si>
  <si>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</si>
  <si>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</si>
  <si>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</si>
  <si>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</si>
  <si>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</si>
  <si>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</si>
  <si>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</si>
  <si>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</si>
  <si>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</si>
  <si>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</si>
  <si>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</si>
  <si>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</si>
  <si>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</si>
  <si>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</si>
  <si>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</si>
  <si>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</si>
  <si>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</si>
  <si>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</si>
  <si>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</si>
  <si>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</si>
  <si>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</si>
  <si>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</si>
  <si>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</si>
  <si>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</si>
  <si>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</si>
  <si>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</si>
  <si>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</si>
  <si>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</si>
  <si>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</si>
  <si>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</si>
  <si>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</si>
  <si>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</si>
  <si>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</si>
  <si>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</si>
  <si>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</si>
  <si>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</si>
  <si>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</si>
  <si>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</si>
  <si>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</si>
  <si>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</si>
  <si>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</si>
  <si>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</si>
  <si>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</si>
  <si>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</si>
  <si>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</si>
  <si>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</si>
  <si>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</si>
  <si>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</si>
  <si>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</si>
  <si>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</si>
  <si>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</si>
  <si>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</si>
  <si>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</si>
  <si>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</si>
  <si>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</si>
  <si>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</si>
  <si>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</si>
  <si>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</si>
  <si>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</si>
  <si>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</si>
  <si>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</si>
  <si>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</si>
  <si>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</si>
  <si>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</si>
  <si>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</si>
  <si>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</si>
  <si>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</si>
  <si>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</si>
  <si>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</si>
  <si>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</si>
  <si>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</si>
  <si>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</si>
  <si>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</si>
  <si>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</si>
  <si>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</si>
  <si>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</si>
  <si>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</si>
  <si>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</si>
  <si>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</si>
  <si>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</si>
  <si>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</si>
  <si>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</si>
  <si>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</si>
  <si>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</si>
  <si>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</si>
  <si>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</si>
  <si>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</si>
  <si>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</si>
  <si>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</si>
  <si>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</si>
  <si>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</si>
  <si>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</si>
  <si>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</si>
  <si>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</si>
  <si>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</si>
  <si>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</si>
  <si>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</si>
  <si>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</si>
  <si>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</si>
  <si>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</si>
  <si>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</si>
  <si>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</si>
  <si>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</si>
  <si>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</si>
  <si>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</si>
  <si>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</si>
  <si>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</si>
  <si>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</si>
  <si>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</si>
  <si>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</si>
  <si>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</si>
  <si>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</si>
  <si>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</si>
  <si>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</si>
  <si>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</si>
  <si>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</si>
  <si>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</si>
  <si>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</si>
  <si>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</si>
  <si>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</si>
  <si>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</si>
  <si>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</si>
  <si>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</si>
  <si>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</si>
  <si>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</si>
  <si>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</si>
  <si>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</si>
  <si>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</si>
  <si>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</si>
  <si>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</si>
  <si>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</si>
  <si>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</si>
  <si>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</si>
  <si>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</si>
  <si>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</si>
  <si>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</si>
  <si>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</si>
  <si>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</si>
  <si>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</si>
  <si>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</si>
  <si>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</si>
  <si>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</si>
  <si>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</si>
  <si>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</si>
  <si>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</si>
  <si>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</si>
  <si>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</si>
  <si>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</si>
  <si>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</si>
  <si>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</si>
  <si>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</si>
  <si>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</si>
  <si>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</si>
  <si>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</si>
  <si>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</si>
  <si>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</si>
  <si>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</si>
  <si>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</si>
  <si>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</si>
  <si>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</si>
  <si>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</si>
  <si>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</si>
  <si>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</si>
  <si>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</si>
  <si>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</si>
  <si>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</si>
  <si>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</si>
  <si>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</si>
  <si>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</si>
  <si>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</si>
  <si>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</si>
  <si>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</si>
  <si>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</si>
  <si>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</si>
  <si>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</si>
  <si>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</si>
  <si>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</si>
  <si>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</si>
  <si>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</si>
  <si>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</si>
  <si>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</si>
  <si>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</si>
  <si>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</si>
  <si>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</si>
  <si>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</si>
  <si>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</si>
  <si>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</si>
  <si>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</si>
  <si>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</si>
  <si>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</si>
  <si>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</si>
  <si>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</si>
  <si>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</si>
  <si>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</si>
  <si>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</si>
  <si>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</si>
  <si>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</si>
  <si>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</si>
  <si>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</si>
  <si>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</si>
  <si>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</si>
  <si>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</si>
  <si>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</si>
  <si>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</si>
  <si>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</si>
  <si>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</si>
  <si>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</si>
  <si>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</si>
  <si>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</si>
  <si>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</si>
  <si>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</si>
  <si>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</si>
  <si>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</si>
  <si>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</si>
  <si>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</si>
  <si>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</si>
  <si>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</si>
  <si>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</si>
  <si>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</si>
  <si>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</si>
  <si>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</si>
  <si>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</si>
  <si>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</si>
  <si>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</si>
  <si>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</si>
  <si>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</si>
  <si>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</si>
  <si>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</si>
  <si>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</si>
  <si>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</si>
  <si>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</si>
  <si>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</si>
  <si>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</si>
  <si>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</si>
  <si>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</si>
  <si>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</si>
  <si>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</si>
  <si>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</si>
  <si>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</si>
  <si>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</si>
  <si>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</si>
  <si>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</si>
  <si>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</si>
  <si>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</si>
  <si>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</si>
  <si>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</si>
  <si>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</si>
  <si>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</si>
  <si>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</si>
  <si>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</si>
  <si>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</si>
  <si>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</si>
  <si>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</si>
  <si>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</si>
  <si>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</si>
  <si>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</si>
  <si>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</si>
  <si>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</si>
  <si>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</si>
  <si>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</si>
  <si>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</si>
  <si>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</si>
  <si>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</si>
  <si>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</si>
  <si>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</si>
  <si>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</si>
  <si>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</si>
  <si>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</si>
  <si>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</si>
  <si>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</si>
  <si>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</si>
  <si>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</si>
  <si>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</si>
  <si>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</si>
  <si>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</si>
  <si>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</si>
  <si>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</si>
  <si>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</si>
  <si>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</si>
  <si>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</si>
  <si>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</si>
  <si>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</si>
  <si>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</si>
  <si>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</si>
  <si>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</si>
  <si>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</si>
  <si>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</si>
  <si>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</si>
  <si>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</si>
  <si>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</si>
  <si>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</si>
  <si>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</si>
  <si>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</si>
  <si>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</si>
  <si>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</si>
  <si>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</si>
  <si>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</si>
  <si>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</si>
  <si>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</si>
  <si>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</si>
  <si>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</si>
  <si>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</si>
  <si>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</si>
  <si>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</si>
  <si>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</si>
  <si>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</si>
  <si>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</si>
  <si>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</si>
  <si>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</si>
  <si>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</si>
  <si>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</si>
  <si>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</si>
  <si>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</si>
  <si>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</si>
  <si>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</si>
  <si>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</si>
  <si>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</si>
  <si>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</si>
  <si>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</si>
  <si>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</si>
  <si>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</si>
  <si>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</si>
  <si>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</si>
  <si>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</si>
  <si>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</si>
  <si>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</si>
  <si>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</si>
  <si>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</si>
  <si>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</si>
  <si>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</si>
  <si>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</si>
  <si>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</si>
  <si>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</si>
  <si>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</si>
  <si>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</si>
  <si>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</si>
  <si>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</si>
  <si>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</si>
  <si>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</si>
  <si>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</si>
  <si>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</si>
  <si>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</si>
  <si>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</si>
  <si>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</si>
  <si>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</si>
  <si>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</si>
  <si>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</si>
  <si>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</si>
  <si>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</si>
  <si>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</si>
  <si>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</si>
  <si>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</si>
  <si>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</si>
  <si>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</si>
  <si>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</si>
  <si>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</si>
  <si>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</si>
  <si>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</si>
  <si>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</si>
  <si>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</si>
  <si>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</si>
  <si>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</si>
  <si>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</si>
  <si>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</si>
  <si>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</si>
  <si>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</si>
  <si>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</si>
  <si>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</si>
  <si>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</si>
  <si>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</si>
  <si>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</si>
  <si>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</si>
  <si>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</si>
  <si>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</si>
  <si>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</si>
  <si>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</si>
  <si>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</si>
  <si>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</si>
  <si>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</si>
  <si>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</si>
  <si>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</si>
  <si>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</si>
  <si>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</si>
  <si>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</si>
  <si>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</si>
  <si>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</si>
  <si>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</si>
  <si>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</si>
  <si>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</si>
  <si>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</si>
  <si>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</si>
  <si>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</si>
  <si>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</si>
  <si>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</si>
  <si>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</si>
  <si>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</si>
  <si>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</si>
  <si>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</si>
  <si>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</si>
  <si>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</si>
  <si>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</si>
  <si>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</si>
  <si>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</si>
  <si>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</si>
  <si>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</si>
  <si>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</si>
  <si>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</si>
  <si>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</si>
  <si>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</si>
  <si>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</si>
  <si>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</si>
  <si>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</si>
  <si>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</si>
  <si>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</si>
  <si>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</si>
  <si>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</si>
  <si>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</si>
  <si>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</si>
  <si>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</si>
  <si>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</si>
  <si>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</si>
  <si>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</si>
  <si>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</si>
  <si>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</si>
  <si>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</si>
  <si>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</si>
  <si>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</si>
  <si>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</si>
  <si>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</si>
  <si>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</si>
  <si>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</si>
  <si>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</si>
  <si>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</si>
  <si>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</si>
  <si>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</si>
  <si>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</si>
  <si>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</si>
  <si>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</si>
  <si>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</si>
  <si>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</si>
  <si>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</si>
  <si>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</si>
  <si>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</si>
  <si>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</si>
  <si>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</si>
  <si>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</si>
  <si>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</si>
  <si>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</si>
  <si>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</si>
  <si>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</si>
  <si>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</si>
  <si>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</si>
  <si>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</si>
  <si>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</si>
  <si>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</si>
  <si>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</si>
  <si>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</si>
  <si>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</si>
  <si>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</si>
  <si>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</si>
  <si>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</si>
  <si>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</si>
  <si>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</si>
  <si>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</si>
  <si>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</si>
  <si>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</si>
  <si>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</si>
  <si>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</si>
  <si>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</si>
  <si>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</si>
  <si>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</si>
  <si>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</si>
  <si>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</si>
  <si>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</si>
  <si>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</si>
  <si>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</si>
  <si>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</si>
  <si>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</si>
  <si>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</si>
  <si>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</si>
  <si>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</si>
  <si>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</si>
  <si>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</si>
  <si>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</si>
  <si>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</si>
  <si>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</si>
  <si>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</si>
  <si>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</si>
  <si>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</si>
  <si>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</si>
  <si>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</si>
  <si>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</si>
  <si>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</si>
  <si>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</si>
  <si>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</si>
  <si>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</si>
  <si>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</si>
  <si>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</si>
  <si>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</si>
  <si>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</si>
  <si>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</si>
  <si>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</si>
  <si>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</si>
  <si>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</si>
  <si>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</si>
  <si>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</si>
  <si>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</si>
  <si>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</si>
  <si>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</si>
  <si>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</si>
  <si>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</si>
  <si>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</si>
  <si>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</si>
  <si>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</si>
  <si>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</si>
  <si>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</si>
  <si>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</si>
  <si>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</si>
  <si>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</si>
  <si>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</si>
  <si>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</si>
  <si>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</si>
  <si>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</si>
  <si>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</si>
  <si>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</si>
  <si>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</si>
  <si>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</si>
  <si>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</si>
  <si>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</si>
  <si>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</si>
  <si>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</si>
  <si>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</si>
  <si>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</si>
  <si>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</si>
  <si>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</si>
  <si>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</si>
  <si>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</si>
  <si>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</si>
  <si>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</si>
  <si>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</si>
  <si>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</si>
  <si>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</si>
  <si>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</si>
  <si>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</si>
  <si>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</si>
  <si>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</si>
  <si>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</si>
  <si>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</si>
  <si>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</si>
  <si>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</si>
  <si>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</si>
  <si>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</si>
  <si>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</si>
  <si>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</si>
  <si>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</si>
  <si>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</si>
  <si>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</si>
  <si>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</si>
  <si>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</si>
  <si>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</si>
  <si>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</si>
  <si>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</si>
  <si>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</si>
  <si>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</si>
  <si>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</si>
  <si>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</si>
  <si>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</si>
  <si>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</si>
  <si>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</si>
  <si>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</si>
  <si>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</si>
  <si>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</si>
  <si>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</si>
  <si>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</si>
  <si>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</si>
  <si>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</si>
  <si>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</si>
  <si>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</si>
  <si>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</si>
  <si>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</si>
  <si>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</si>
  <si>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</si>
  <si>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</si>
  <si>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</si>
  <si>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</si>
  <si>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</si>
  <si>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</si>
  <si>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</si>
  <si>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</si>
  <si>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</si>
  <si>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</si>
  <si>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</si>
  <si>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</si>
  <si>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</si>
  <si>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</si>
  <si>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</si>
  <si>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</si>
  <si>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</si>
  <si>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</si>
  <si>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</si>
  <si>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</si>
  <si>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</si>
  <si>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</si>
  <si>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</si>
  <si>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</si>
  <si>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</si>
  <si>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</si>
  <si>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</si>
  <si>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</si>
  <si>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</si>
  <si>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</si>
  <si>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</si>
  <si>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</si>
  <si>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</si>
  <si>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</si>
  <si>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</si>
  <si>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</si>
  <si>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</si>
  <si>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</si>
  <si>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</si>
  <si>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</si>
  <si>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</si>
  <si>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</si>
  <si>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</si>
  <si>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</si>
  <si>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</si>
  <si>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</si>
  <si>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</si>
  <si>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</si>
  <si>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</si>
  <si>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</si>
  <si>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</si>
  <si>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</si>
  <si>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</si>
  <si>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</si>
  <si>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</si>
  <si>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</si>
  <si>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</si>
  <si>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</si>
  <si>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</si>
  <si>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</si>
  <si>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</si>
  <si>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</si>
  <si>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</si>
  <si>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</si>
  <si>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</si>
  <si>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</si>
  <si>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</si>
  <si>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</si>
  <si>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</si>
  <si>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</si>
  <si>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</si>
  <si>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</si>
  <si>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</si>
  <si>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</si>
  <si>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</si>
  <si>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</si>
  <si>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</si>
  <si>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</si>
  <si>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</si>
  <si>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</si>
  <si>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</si>
  <si>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</si>
  <si>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</si>
  <si>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</si>
  <si>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</si>
  <si>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</si>
  <si>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</si>
  <si>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</si>
  <si>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</si>
  <si>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</si>
  <si>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</si>
  <si>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</si>
  <si>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</si>
  <si>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</si>
  <si>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</si>
  <si>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</si>
  <si>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</si>
  <si>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</si>
  <si>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</si>
  <si>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</si>
  <si>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</si>
  <si>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</si>
  <si>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</si>
  <si>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</si>
  <si>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</si>
  <si>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</si>
  <si>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</si>
  <si>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</si>
  <si>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</si>
  <si>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</si>
  <si>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</si>
  <si>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</si>
  <si>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</si>
  <si>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</si>
  <si>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</si>
  <si>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</si>
  <si>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</si>
  <si>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</si>
  <si>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</si>
  <si>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</si>
  <si>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</si>
  <si>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</si>
  <si>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</si>
  <si>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</si>
  <si>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</si>
  <si>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</si>
  <si>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</si>
  <si>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</si>
  <si>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</si>
  <si>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</si>
  <si>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</si>
  <si>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</si>
  <si>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</si>
  <si>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</si>
  <si>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</si>
  <si>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</si>
  <si>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</si>
  <si>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</si>
  <si>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</si>
  <si>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</si>
  <si>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</si>
  <si>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</si>
  <si>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</si>
  <si>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</si>
  <si>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</si>
  <si>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</si>
  <si>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</si>
  <si>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</si>
  <si>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</si>
  <si>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</si>
  <si>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</si>
  <si>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</si>
  <si>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</si>
  <si>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</si>
  <si>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</si>
  <si>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</si>
  <si>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</si>
  <si>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</si>
  <si>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</si>
  <si>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</si>
  <si>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</si>
  <si>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</si>
  <si>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</si>
  <si>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Алфа Енемона ООД</t>
  </si>
  <si>
    <t>Дата на съставяне: 30.04.2013</t>
  </si>
  <si>
    <t>01.01.2012-31.03.2013 година</t>
  </si>
  <si>
    <t>Дата на съставяне:     30.04.2013</t>
  </si>
  <si>
    <t xml:space="preserve">Дата  на съставяне:      30.04.2013                              </t>
  </si>
  <si>
    <t>Дата на съставяне:        30.04.2013</t>
  </si>
  <si>
    <t>1. Енемона Ютилитис ЕАД</t>
  </si>
  <si>
    <t>2. ФЕЕИ АДСИЦ</t>
  </si>
  <si>
    <t>3. Пирин Пауър АД</t>
  </si>
  <si>
    <t>4. Артанес Майнинг Груп АД</t>
  </si>
  <si>
    <t>5. ФИНИ АДСИЦ</t>
  </si>
  <si>
    <t>6. Хемусгаз АД</t>
  </si>
  <si>
    <t>7. Еско инженеринг АД</t>
  </si>
  <si>
    <t>8.ТФЕЦ Никопол ЕАД</t>
  </si>
  <si>
    <t>9. Неврокоп-газ АД</t>
  </si>
  <si>
    <t>10.Емко АД</t>
  </si>
  <si>
    <t>11. ФЕЦ Младеново ЕООД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</si>
</sst>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  <xf numFmtId="3" fontId="8" fillId="34" borderId="12" xfId="61" applyNumberFormat="1" applyFont="1" applyFill="1" applyBorder="1" applyAlignment="1" applyProtection="1">
      <alignment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12%202012%20&#1044;&#1077;&#1082;&#1077;&#1084;&#1074;&#1088;&#1080;%202012\12%202011%202000%20&#1054;&#1090;&#1095;&#1077;&#1090;&#1080;\2030%20&#1054;&#1090;&#1095;&#1077;&#1090;&#1080;%20&#1052;&#1057;&#1060;&#1054;\Separate_2012_audited\&#1050;&#1086;&#1085;&#1089;&#1086;&#1083;.%20&#1087;&#1072;&#1082;&#1077;&#1090;%20&#1045;&#1085;&#1077;&#1084;&#1086;&#1085;&#1072;%2031.12.2012_audi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рганизация"/>
      <sheetName val="Инструкции"/>
      <sheetName val="Проверки"/>
      <sheetName val="30.09.2012 ЕСКО преизч"/>
      <sheetName val="30.09.2011ESKO"/>
      <sheetName val="TB2011_restated"/>
      <sheetName val="Приложение 5"/>
      <sheetName val="Баланс-КФН"/>
      <sheetName val="OПР-КФН"/>
      <sheetName val="OПР-проверка"/>
      <sheetName val="TBsynt"/>
      <sheetName val="Аналитични_ОПР"/>
      <sheetName val="Аналитични Баланс"/>
      <sheetName val="Баланс засичане"/>
      <sheetName val="баланс"/>
      <sheetName val="ОПР"/>
      <sheetName val="Sheet1"/>
      <sheetName val="ОСК"/>
      <sheetName val="бел.1"/>
      <sheetName val="бел.4"/>
      <sheetName val="бел.5"/>
      <sheetName val="бел.6"/>
      <sheetName val="бел.7"/>
      <sheetName val="бел.1-1"/>
      <sheetName val="бел.1-2"/>
      <sheetName val="бел.8"/>
      <sheetName val="бел.9"/>
      <sheetName val="бел.10"/>
      <sheetName val="бел.11"/>
      <sheetName val="бел.12"/>
      <sheetName val="бел.13"/>
      <sheetName val="бел.15"/>
      <sheetName val="бел.14"/>
      <sheetName val="бел.16"/>
      <sheetName val="бел.17"/>
      <sheetName val="бел.18"/>
      <sheetName val="бел.19"/>
      <sheetName val="бел.20"/>
      <sheetName val="бел.21"/>
      <sheetName val="бел.22"/>
      <sheetName val="бел.23"/>
      <sheetName val="бел.24"/>
      <sheetName val="бел.25"/>
      <sheetName val="Кредитен риск"/>
      <sheetName val="Ликвиден риск"/>
      <sheetName val="вътрешно-групови салда"/>
      <sheetName val="Banks"/>
      <sheetName val="151_WF"/>
      <sheetName val="ЕСКО"/>
      <sheetName val="Цесия"/>
      <sheetName val="Sheet4"/>
      <sheetName val="RP"/>
      <sheetName val="RP_rev_pivot"/>
      <sheetName val="RP_wf_rev"/>
      <sheetName val="RP_EXP_pivot"/>
      <sheetName val="RP_WF_exp"/>
      <sheetName val="Payables1-3months"/>
      <sheetName val="Loans_liquidity"/>
      <sheetName val="Сегмент"/>
      <sheetName val="Loans_maturity"/>
      <sheetName val="Leases"/>
      <sheetName val="Collater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zoomScalePageLayoutView="0" workbookViewId="0" topLeftCell="A44">
      <selection activeCell="G48" sqref="G4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2" t="s">
        <v>1</v>
      </c>
      <c r="B3" s="593"/>
      <c r="C3" s="593"/>
      <c r="D3" s="593"/>
      <c r="E3" s="462" t="s">
        <v>863</v>
      </c>
      <c r="F3" s="217" t="s">
        <v>2</v>
      </c>
      <c r="G3" s="172"/>
      <c r="H3" s="461" t="s">
        <v>865</v>
      </c>
    </row>
    <row r="4" spans="1:8" ht="15">
      <c r="A4" s="592" t="s">
        <v>3</v>
      </c>
      <c r="B4" s="598"/>
      <c r="C4" s="598"/>
      <c r="D4" s="598"/>
      <c r="E4" s="504" t="s">
        <v>864</v>
      </c>
      <c r="F4" s="594" t="s">
        <v>4</v>
      </c>
      <c r="G4" s="595"/>
      <c r="H4" s="461" t="s">
        <v>866</v>
      </c>
    </row>
    <row r="5" spans="1:8" ht="15">
      <c r="A5" s="592" t="s">
        <v>5</v>
      </c>
      <c r="B5" s="593"/>
      <c r="C5" s="593"/>
      <c r="D5" s="593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647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19142.629960000002</v>
      </c>
      <c r="D12" s="647">
        <v>19251.19882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711.1083900000003</v>
      </c>
      <c r="D13" s="647">
        <v>777.5523499999999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647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3459.9193199999995</v>
      </c>
      <c r="D15" s="647">
        <v>3563.724149999999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266.11807999999996</v>
      </c>
      <c r="D16" s="647">
        <v>266.11807999999996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5660.79104</v>
      </c>
      <c r="D17" s="647">
        <v>5657.8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569.3813100000002</v>
      </c>
      <c r="D18" s="647">
        <v>628.5405000000001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35417.9481</v>
      </c>
      <c r="D19" s="155">
        <f>SUM(D11:D18)</f>
        <v>35752.9339</v>
      </c>
      <c r="E19" s="237" t="s">
        <v>53</v>
      </c>
      <c r="F19" s="242" t="s">
        <v>54</v>
      </c>
      <c r="G19" s="152">
        <f>36262-27523</f>
        <v>8739</v>
      </c>
      <c r="H19" s="152">
        <f>36262-27523</f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541.53803</v>
      </c>
      <c r="D23" s="151">
        <v>557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47.736580000000004</v>
      </c>
      <c r="D24" s="151">
        <v>53.78387000000001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37448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589.27461</v>
      </c>
      <c r="D27" s="155">
        <f>SUM(D23:D26)</f>
        <v>610.78387</v>
      </c>
      <c r="E27" s="253" t="s">
        <v>83</v>
      </c>
      <c r="F27" s="242" t="s">
        <v>84</v>
      </c>
      <c r="G27" s="154">
        <f>SUM(G28:G30)</f>
        <v>1736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H28+H31</f>
        <v>6424</v>
      </c>
      <c r="H28" s="152">
        <v>4688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H29</f>
        <v>-4688</v>
      </c>
      <c r="H29" s="316">
        <v>-4688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ДОХОДИТЕ'!C41-'справка №2-ОТЧЕТ ЗА ДОХОДИТЕ'!G34</f>
        <v>-954.7640800000008</v>
      </c>
      <c r="H31" s="152">
        <v>1736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781.2359199999992</v>
      </c>
      <c r="H33" s="154">
        <f>H27+H31+H32</f>
        <v>1736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14810</v>
      </c>
      <c r="D34" s="155">
        <f>SUM(D35:D38)</f>
        <v>14810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14806</v>
      </c>
      <c r="D35" s="151">
        <v>14806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51266.23592</v>
      </c>
      <c r="H36" s="154">
        <f>H25+H17+H33</f>
        <v>52221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4188.23115024</v>
      </c>
      <c r="H44" s="152">
        <v>4297.48476678</v>
      </c>
    </row>
    <row r="45" spans="1:15" ht="15">
      <c r="A45" s="235" t="s">
        <v>136</v>
      </c>
      <c r="B45" s="249" t="s">
        <v>137</v>
      </c>
      <c r="C45" s="155">
        <f>C34+C39+C44</f>
        <v>14810</v>
      </c>
      <c r="D45" s="155">
        <f>D34+D39+D44</f>
        <v>14810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31.509970000000003</v>
      </c>
      <c r="H46" s="152">
        <v>34.31099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429.41154000000006</v>
      </c>
      <c r="D48" s="151">
        <v>474.63044</v>
      </c>
      <c r="E48" s="237" t="s">
        <v>149</v>
      </c>
      <c r="F48" s="242" t="s">
        <v>150</v>
      </c>
      <c r="G48" s="152">
        <v>3319.9647399999994</v>
      </c>
      <c r="H48" s="152">
        <v>3451.0465299999996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7539.705860239999</v>
      </c>
      <c r="H49" s="154">
        <f>SUM(H43:H48)</f>
        <v>7782.84228678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8505.32789039411</v>
      </c>
      <c r="D50" s="151">
        <v>8605.995999999997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8934.739430394111</v>
      </c>
      <c r="D51" s="155">
        <f>SUM(D47:D50)</f>
        <v>9080.626439999998</v>
      </c>
      <c r="E51" s="251" t="s">
        <v>157</v>
      </c>
      <c r="F51" s="245" t="s">
        <v>158</v>
      </c>
      <c r="G51" s="152">
        <v>62</v>
      </c>
      <c r="H51" s="152">
        <v>62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2579</v>
      </c>
      <c r="D54" s="151">
        <v>2579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62330.96214039411</v>
      </c>
      <c r="D55" s="155">
        <f>D19+D20+D21+D27+D32+D45+D51+D53+D54</f>
        <v>62833.34421</v>
      </c>
      <c r="E55" s="237" t="s">
        <v>172</v>
      </c>
      <c r="F55" s="261" t="s">
        <v>173</v>
      </c>
      <c r="G55" s="154">
        <f>G49+G51+G52+G53+G54</f>
        <v>7601.705860239999</v>
      </c>
      <c r="H55" s="154">
        <f>H49+H51+H52+H53+H54</f>
        <v>7844.84228678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6751.124199999999</v>
      </c>
      <c r="D58" s="151">
        <v>5680.8936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66987.17535976</v>
      </c>
      <c r="H59" s="152">
        <v>64123.588063220006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444</v>
      </c>
      <c r="H60" s="152">
        <v>444</v>
      </c>
    </row>
    <row r="61" spans="1:18" ht="15">
      <c r="A61" s="235" t="s">
        <v>187</v>
      </c>
      <c r="B61" s="244" t="s">
        <v>188</v>
      </c>
      <c r="C61" s="151">
        <v>1481.48169</v>
      </c>
      <c r="D61" s="151">
        <v>558.75365</v>
      </c>
      <c r="E61" s="243" t="s">
        <v>189</v>
      </c>
      <c r="F61" s="272" t="s">
        <v>190</v>
      </c>
      <c r="G61" s="154">
        <f>SUM(G62:G68)</f>
        <v>18572.14519</v>
      </c>
      <c r="H61" s="154">
        <f>SUM(H62:H68)</f>
        <v>20317.243709999995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2116.8334099999997</v>
      </c>
      <c r="H62" s="152">
        <v>2553.6371399999994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930.90076</v>
      </c>
      <c r="H63" s="152">
        <v>1559.4550900000002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8232.605889999999</v>
      </c>
      <c r="D64" s="155">
        <f>SUM(D58:D63)</f>
        <v>6239.64725</v>
      </c>
      <c r="E64" s="237" t="s">
        <v>200</v>
      </c>
      <c r="F64" s="242" t="s">
        <v>201</v>
      </c>
      <c r="G64" s="152">
        <v>6803.8704499999985</v>
      </c>
      <c r="H64" s="152">
        <v>7297.399439999997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4856</v>
      </c>
      <c r="H65" s="152">
        <v>5743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2090.18232</v>
      </c>
      <c r="H66" s="152">
        <v>1512.62551</v>
      </c>
    </row>
    <row r="67" spans="1:8" ht="15">
      <c r="A67" s="235" t="s">
        <v>207</v>
      </c>
      <c r="B67" s="241" t="s">
        <v>208</v>
      </c>
      <c r="C67" s="151">
        <v>3181.2257999999993</v>
      </c>
      <c r="D67" s="151">
        <v>2979.9735499999992</v>
      </c>
      <c r="E67" s="237" t="s">
        <v>209</v>
      </c>
      <c r="F67" s="242" t="s">
        <v>210</v>
      </c>
      <c r="G67" s="152">
        <v>1150.73008</v>
      </c>
      <c r="H67" s="152">
        <v>1234.9384</v>
      </c>
    </row>
    <row r="68" spans="1:8" ht="15">
      <c r="A68" s="235" t="s">
        <v>211</v>
      </c>
      <c r="B68" s="241" t="s">
        <v>212</v>
      </c>
      <c r="C68" s="151">
        <v>53985.02310000001</v>
      </c>
      <c r="D68" s="151">
        <v>51499.02225000001</v>
      </c>
      <c r="E68" s="237" t="s">
        <v>213</v>
      </c>
      <c r="F68" s="242" t="s">
        <v>214</v>
      </c>
      <c r="G68" s="152">
        <v>623.6281700000001</v>
      </c>
      <c r="H68" s="152">
        <v>416.18813</v>
      </c>
    </row>
    <row r="69" spans="1:8" ht="15">
      <c r="A69" s="235" t="s">
        <v>215</v>
      </c>
      <c r="B69" s="241" t="s">
        <v>216</v>
      </c>
      <c r="C69" s="151">
        <v>11979.10009</v>
      </c>
      <c r="D69" s="151">
        <v>12366.251119999999</v>
      </c>
      <c r="E69" s="251" t="s">
        <v>78</v>
      </c>
      <c r="F69" s="242" t="s">
        <v>217</v>
      </c>
      <c r="G69" s="152">
        <v>7079</v>
      </c>
      <c r="H69" s="152">
        <v>4221.92265</v>
      </c>
    </row>
    <row r="70" spans="1:8" ht="15">
      <c r="A70" s="235" t="s">
        <v>218</v>
      </c>
      <c r="B70" s="241" t="s">
        <v>219</v>
      </c>
      <c r="C70" s="151">
        <v>6791.57416</v>
      </c>
      <c r="D70" s="151">
        <v>7454.39493</v>
      </c>
      <c r="E70" s="237" t="s">
        <v>220</v>
      </c>
      <c r="F70" s="242" t="s">
        <v>221</v>
      </c>
      <c r="G70" s="152">
        <v>470</v>
      </c>
      <c r="H70" s="152">
        <v>470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93552.32054976</v>
      </c>
      <c r="H71" s="161">
        <f>H59+H60+H61+H69+H70</f>
        <v>89576.75442322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404.31226</v>
      </c>
      <c r="D72" s="151">
        <v>405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168.6375</v>
      </c>
      <c r="D73" s="151">
        <v>166.23691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3821.8096996058875</v>
      </c>
      <c r="D74" s="151">
        <v>3877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80331.68260960591</v>
      </c>
      <c r="D75" s="155">
        <f>SUM(D67:D74)</f>
        <v>78747.87876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93552.32054976</v>
      </c>
      <c r="H79" s="162">
        <f>H71+H74+H75+H76</f>
        <v>89576.75442322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320.96198</v>
      </c>
      <c r="D87" s="151">
        <v>474.60781000000003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914.2241899999999</v>
      </c>
      <c r="D88" s="151">
        <v>1057.20527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290</v>
      </c>
      <c r="D89" s="151">
        <v>290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1525.18617</v>
      </c>
      <c r="D91" s="155">
        <f>SUM(D87:D90)</f>
        <v>1821.81308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90089.4746696059</v>
      </c>
      <c r="D93" s="155">
        <f>D64+D75+D84+D91+D92</f>
        <v>86809.33909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152420.43681</v>
      </c>
      <c r="D94" s="164">
        <f>D93+D55</f>
        <v>149642.6833</v>
      </c>
      <c r="E94" s="449" t="s">
        <v>270</v>
      </c>
      <c r="F94" s="289" t="s">
        <v>271</v>
      </c>
      <c r="G94" s="165">
        <f>G36+G39+G55+G79</f>
        <v>152420.26233</v>
      </c>
      <c r="H94" s="165">
        <f>H36+H39+H55+H79</f>
        <v>149642.59671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4">
        <f>+C94-G94</f>
        <v>0.1744800000160467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96" t="s">
        <v>273</v>
      </c>
      <c r="D98" s="596"/>
      <c r="E98" s="59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6" t="s">
        <v>855</v>
      </c>
      <c r="D100" s="597"/>
      <c r="E100" s="597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1">
      <selection activeCell="A23" sqref="A2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1" t="str">
        <f>'справка №1-БАЛАНС'!E3</f>
        <v>"ЕНЕМОНА"АД, КОЗЛОДУЙ</v>
      </c>
      <c r="C2" s="601"/>
      <c r="D2" s="601"/>
      <c r="E2" s="601"/>
      <c r="F2" s="603" t="s">
        <v>2</v>
      </c>
      <c r="G2" s="603"/>
      <c r="H2" s="525" t="str">
        <f>'справка №1-БАЛАНС'!H3</f>
        <v>,020955078</v>
      </c>
    </row>
    <row r="3" spans="1:8" ht="15">
      <c r="A3" s="467" t="s">
        <v>275</v>
      </c>
      <c r="B3" s="601" t="str">
        <f>'справка №1-БАЛАНС'!E4</f>
        <v> НЕКОНСОЛИДИРАН</v>
      </c>
      <c r="C3" s="601"/>
      <c r="D3" s="601"/>
      <c r="E3" s="601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2" t="str">
        <f>'справка №1-БАЛАНС'!E5</f>
        <v>01.01.2012-31.03.2013 година</v>
      </c>
      <c r="C4" s="602"/>
      <c r="D4" s="602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4823</v>
      </c>
      <c r="D9" s="46">
        <v>2009</v>
      </c>
      <c r="E9" s="298" t="s">
        <v>285</v>
      </c>
      <c r="F9" s="548" t="s">
        <v>286</v>
      </c>
      <c r="G9" s="549">
        <v>14889</v>
      </c>
      <c r="H9" s="549">
        <f>9799-H11</f>
        <v>9782</v>
      </c>
    </row>
    <row r="10" spans="1:8" ht="12">
      <c r="A10" s="298" t="s">
        <v>287</v>
      </c>
      <c r="B10" s="299" t="s">
        <v>288</v>
      </c>
      <c r="C10" s="46">
        <v>3554</v>
      </c>
      <c r="D10" s="46">
        <v>3798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419</v>
      </c>
      <c r="D11" s="46">
        <v>446</v>
      </c>
      <c r="E11" s="300" t="s">
        <v>293</v>
      </c>
      <c r="F11" s="548" t="s">
        <v>294</v>
      </c>
      <c r="G11" s="549">
        <v>72</v>
      </c>
      <c r="H11" s="549">
        <v>17</v>
      </c>
    </row>
    <row r="12" spans="1:8" ht="12">
      <c r="A12" s="298" t="s">
        <v>295</v>
      </c>
      <c r="B12" s="299" t="s">
        <v>296</v>
      </c>
      <c r="C12" s="46">
        <v>6552</v>
      </c>
      <c r="D12" s="46">
        <f>4313-D13</f>
        <v>3800</v>
      </c>
      <c r="E12" s="300" t="s">
        <v>78</v>
      </c>
      <c r="F12" s="548" t="s">
        <v>297</v>
      </c>
      <c r="G12" s="549">
        <v>1155</v>
      </c>
      <c r="H12" s="549">
        <v>139</v>
      </c>
    </row>
    <row r="13" spans="1:18" ht="12">
      <c r="A13" s="298" t="s">
        <v>298</v>
      </c>
      <c r="B13" s="299" t="s">
        <v>299</v>
      </c>
      <c r="C13" s="46">
        <v>933</v>
      </c>
      <c r="D13" s="46">
        <v>513</v>
      </c>
      <c r="E13" s="301" t="s">
        <v>51</v>
      </c>
      <c r="F13" s="550" t="s">
        <v>300</v>
      </c>
      <c r="G13" s="547">
        <f>SUM(G9:G12)</f>
        <v>16116</v>
      </c>
      <c r="H13" s="547">
        <f>SUM(H9:H12)</f>
        <v>9938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-923</v>
      </c>
      <c r="D15" s="47">
        <v>-177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761</v>
      </c>
      <c r="D16" s="47">
        <v>621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16119</v>
      </c>
      <c r="D19" s="49">
        <f>SUM(D9:D15)+D16</f>
        <v>11010</v>
      </c>
      <c r="E19" s="304" t="s">
        <v>317</v>
      </c>
      <c r="F19" s="551" t="s">
        <v>318</v>
      </c>
      <c r="G19" s="549">
        <v>454</v>
      </c>
      <c r="H19" s="549">
        <v>300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0</v>
      </c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674.2701900000001</v>
      </c>
      <c r="D22" s="46">
        <f>508+615</f>
        <v>1123</v>
      </c>
      <c r="E22" s="304" t="s">
        <v>326</v>
      </c>
      <c r="F22" s="551" t="s">
        <v>327</v>
      </c>
      <c r="G22" s="549">
        <v>1</v>
      </c>
      <c r="H22" s="549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>
        <v>21</v>
      </c>
    </row>
    <row r="24" spans="1:18" ht="12">
      <c r="A24" s="298" t="s">
        <v>332</v>
      </c>
      <c r="B24" s="305" t="s">
        <v>333</v>
      </c>
      <c r="C24" s="46">
        <v>2.8631599999999997</v>
      </c>
      <c r="D24" s="46">
        <v>8</v>
      </c>
      <c r="E24" s="301" t="s">
        <v>103</v>
      </c>
      <c r="F24" s="553" t="s">
        <v>334</v>
      </c>
      <c r="G24" s="547">
        <f>SUM(G19:G23)</f>
        <v>455</v>
      </c>
      <c r="H24" s="547">
        <f>SUM(H19:H23)</f>
        <v>322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729.63073</v>
      </c>
      <c r="D25" s="46">
        <f>142+2623+261</f>
        <v>3026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1406.76408</v>
      </c>
      <c r="D26" s="49">
        <f>SUM(D22:D25)</f>
        <v>4157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17525.76408</v>
      </c>
      <c r="D28" s="50">
        <f>D26+D19</f>
        <v>15167</v>
      </c>
      <c r="E28" s="127" t="s">
        <v>339</v>
      </c>
      <c r="F28" s="553" t="s">
        <v>340</v>
      </c>
      <c r="G28" s="547">
        <f>G13+G15+G24</f>
        <v>16571</v>
      </c>
      <c r="H28" s="547">
        <f>H13+H15+H24</f>
        <v>10260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954.7640800000008</v>
      </c>
      <c r="H30" s="53">
        <f>IF((D28-H28)&gt;0,D28-H28,0)</f>
        <v>4907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17525.76408</v>
      </c>
      <c r="D33" s="49">
        <f>D28+D31+D32</f>
        <v>15167</v>
      </c>
      <c r="E33" s="127" t="s">
        <v>353</v>
      </c>
      <c r="F33" s="553" t="s">
        <v>354</v>
      </c>
      <c r="G33" s="53">
        <f>G32+G31+G28</f>
        <v>16571</v>
      </c>
      <c r="H33" s="53">
        <f>H32+H31+H28</f>
        <v>10260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954.7640800000008</v>
      </c>
      <c r="H34" s="547">
        <f>IF((D33-H33)&gt;0,D33-H33,0)</f>
        <v>4907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f>C34*10%</f>
        <v>0</v>
      </c>
      <c r="D36" s="46">
        <f>D34*10%</f>
        <v>0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954.7640800000008</v>
      </c>
      <c r="H39" s="558">
        <f>IF(H34&gt;0,IF(D35+H34&lt;0,0,D35+H34),IF(D34-D35&lt;0,D35-D34,0))</f>
        <v>4907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954.7640800000008</v>
      </c>
      <c r="H41" s="52">
        <f>IF(D39=0,IF(H39-H40&gt;0,H39-H40+D40,0),IF(D39-D40&lt;0,D40-D39+H40,0))</f>
        <v>4907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17525.76408</v>
      </c>
      <c r="D42" s="53">
        <f>D33+D35+D39</f>
        <v>15167</v>
      </c>
      <c r="E42" s="128" t="s">
        <v>380</v>
      </c>
      <c r="F42" s="129" t="s">
        <v>381</v>
      </c>
      <c r="G42" s="53">
        <f>G39+G33</f>
        <v>17525.76408</v>
      </c>
      <c r="H42" s="53">
        <f>H39+H33</f>
        <v>15167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4" t="s">
        <v>861</v>
      </c>
      <c r="B45" s="604"/>
      <c r="C45" s="604"/>
      <c r="D45" s="604"/>
      <c r="E45" s="604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5">
        <v>41394</v>
      </c>
      <c r="C48" s="427" t="s">
        <v>382</v>
      </c>
      <c r="D48" s="599"/>
      <c r="E48" s="599"/>
      <c r="F48" s="599"/>
      <c r="G48" s="599"/>
      <c r="H48" s="59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0"/>
      <c r="E50" s="600"/>
      <c r="F50" s="600"/>
      <c r="G50" s="600"/>
      <c r="H50" s="60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01.01.2012-31.03.2013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16630</v>
      </c>
      <c r="D10" s="54">
        <v>14797</v>
      </c>
      <c r="E10" s="130"/>
      <c r="F10" s="130"/>
    </row>
    <row r="11" spans="1:13" ht="12.75">
      <c r="A11" s="332" t="s">
        <v>389</v>
      </c>
      <c r="B11" s="333" t="s">
        <v>390</v>
      </c>
      <c r="C11" s="590">
        <v>-13965</v>
      </c>
      <c r="D11" s="590">
        <v>-12176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0">
        <v>-4571</v>
      </c>
      <c r="D13" s="590">
        <v>-4753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0">
        <v>-173</v>
      </c>
      <c r="D14" s="590">
        <v>-1068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0"/>
      <c r="D15" s="590">
        <v>-88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0">
        <v>728</v>
      </c>
      <c r="D19" s="590">
        <f>-944+423</f>
        <v>-521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-1351</v>
      </c>
      <c r="D20" s="55">
        <f>SUM(D10:D19)</f>
        <v>-3809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0">
        <v>-3</v>
      </c>
      <c r="D22" s="590">
        <v>-54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0">
        <v>100</v>
      </c>
      <c r="D23" s="590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0">
        <v>-2065</v>
      </c>
      <c r="D24" s="590">
        <v>-1950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0">
        <v>2315</v>
      </c>
      <c r="D25" s="590">
        <v>1603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0">
        <v>-3</v>
      </c>
      <c r="D27" s="590">
        <v>-48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0"/>
      <c r="D28" s="590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0">
        <v>10</v>
      </c>
      <c r="D29" s="590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-150</v>
      </c>
      <c r="D31" s="54">
        <f>1553</f>
        <v>1553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204</v>
      </c>
      <c r="D32" s="55">
        <f>SUM(D22:D31)</f>
        <v>1104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0"/>
      <c r="D34" s="590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0">
        <v>7884</v>
      </c>
      <c r="D36" s="590">
        <v>12221</v>
      </c>
      <c r="E36" s="130"/>
      <c r="F36" s="130"/>
    </row>
    <row r="37" spans="1:6" ht="12.75">
      <c r="A37" s="332" t="s">
        <v>438</v>
      </c>
      <c r="B37" s="333" t="s">
        <v>439</v>
      </c>
      <c r="C37" s="591">
        <v>-5762</v>
      </c>
      <c r="D37" s="591">
        <v>-11756</v>
      </c>
      <c r="E37" s="130"/>
      <c r="F37" s="130"/>
    </row>
    <row r="38" spans="1:6" ht="12.75">
      <c r="A38" s="332" t="s">
        <v>440</v>
      </c>
      <c r="B38" s="333" t="s">
        <v>441</v>
      </c>
      <c r="C38" s="590">
        <v>-77</v>
      </c>
      <c r="D38" s="590">
        <v>-183</v>
      </c>
      <c r="E38" s="130"/>
      <c r="F38" s="130"/>
    </row>
    <row r="39" spans="1:6" ht="12.75">
      <c r="A39" s="332" t="s">
        <v>442</v>
      </c>
      <c r="B39" s="333" t="s">
        <v>443</v>
      </c>
      <c r="C39" s="590">
        <v>-1195</v>
      </c>
      <c r="D39" s="590">
        <v>-661</v>
      </c>
      <c r="E39" s="130"/>
      <c r="F39" s="130"/>
    </row>
    <row r="40" spans="1:6" ht="12.75">
      <c r="A40" s="332" t="s">
        <v>444</v>
      </c>
      <c r="B40" s="333" t="s">
        <v>445</v>
      </c>
      <c r="C40" s="590"/>
      <c r="D40" s="590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850</v>
      </c>
      <c r="D42" s="55">
        <f>SUM(D34:D41)</f>
        <v>-379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-297</v>
      </c>
      <c r="D43" s="55">
        <f>D42+D32+D20</f>
        <v>-3084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1822</v>
      </c>
      <c r="D44" s="132">
        <v>4957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1525</v>
      </c>
      <c r="D45" s="55">
        <f>D44+D43</f>
        <v>1873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1235</v>
      </c>
      <c r="D46" s="56">
        <f>D45-D47</f>
        <v>1450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290</v>
      </c>
      <c r="D47" s="56">
        <v>423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5"/>
      <c r="D50" s="60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5"/>
      <c r="D52" s="60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0">
      <selection activeCell="I16" sqref="I16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6" t="s">
        <v>460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8" t="str">
        <f>'справка №1-БАЛАНС'!E3</f>
        <v>"ЕНЕМОНА"АД, КОЗЛОДУЙ</v>
      </c>
      <c r="C3" s="608"/>
      <c r="D3" s="608"/>
      <c r="E3" s="608"/>
      <c r="F3" s="608"/>
      <c r="G3" s="608"/>
      <c r="H3" s="608"/>
      <c r="I3" s="608"/>
      <c r="J3" s="476"/>
      <c r="K3" s="610" t="s">
        <v>2</v>
      </c>
      <c r="L3" s="610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8" t="str">
        <f>'справка №1-БАЛАНС'!E4</f>
        <v> НЕКОНСОЛИДИРАН</v>
      </c>
      <c r="C4" s="608"/>
      <c r="D4" s="608"/>
      <c r="E4" s="608"/>
      <c r="F4" s="608"/>
      <c r="G4" s="608"/>
      <c r="H4" s="608"/>
      <c r="I4" s="608"/>
      <c r="J4" s="136"/>
      <c r="K4" s="611" t="s">
        <v>4</v>
      </c>
      <c r="L4" s="611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2" t="str">
        <f>'справка №1-БАЛАНС'!E5</f>
        <v>01.01.2012-31.03.2013 година</v>
      </c>
      <c r="C5" s="612"/>
      <c r="D5" s="612"/>
      <c r="E5" s="61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8">
        <f>'справка №1-БАЛАНС'!H24</f>
        <v>993</v>
      </c>
      <c r="I11" s="58">
        <f>'справка №1-БАЛАНС'!H28+'справка №1-БАЛАНС'!H31</f>
        <v>6424</v>
      </c>
      <c r="J11" s="58">
        <f>'справка №1-БАЛАНС'!H29+'справка №1-БАЛАНС'!H32</f>
        <v>-4688</v>
      </c>
      <c r="K11" s="60"/>
      <c r="L11" s="344">
        <f>SUM(C11:K11)</f>
        <v>52221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6424</v>
      </c>
      <c r="J15" s="61">
        <f t="shared" si="2"/>
        <v>-4688</v>
      </c>
      <c r="K15" s="61">
        <f t="shared" si="2"/>
        <v>0</v>
      </c>
      <c r="L15" s="344">
        <f t="shared" si="1"/>
        <v>52221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-954.7640800000008</v>
      </c>
      <c r="J16" s="345">
        <f>+'справка №1-БАЛАНС'!G32</f>
        <v>0</v>
      </c>
      <c r="K16" s="60"/>
      <c r="L16" s="344">
        <f t="shared" si="1"/>
        <v>-954.7640800000008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5469.235919999999</v>
      </c>
      <c r="J29" s="59">
        <f t="shared" si="6"/>
        <v>-4688</v>
      </c>
      <c r="K29" s="59">
        <f t="shared" si="6"/>
        <v>0</v>
      </c>
      <c r="L29" s="344">
        <f t="shared" si="1"/>
        <v>51266.23592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5469.235919999999</v>
      </c>
      <c r="J32" s="59">
        <f t="shared" si="7"/>
        <v>-4688</v>
      </c>
      <c r="K32" s="59">
        <f t="shared" si="7"/>
        <v>0</v>
      </c>
      <c r="L32" s="344">
        <f t="shared" si="1"/>
        <v>51266.23592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9" t="s">
        <v>862</v>
      </c>
      <c r="B35" s="609"/>
      <c r="C35" s="609"/>
      <c r="D35" s="609"/>
      <c r="E35" s="609"/>
      <c r="F35" s="609"/>
      <c r="G35" s="609"/>
      <c r="H35" s="609"/>
      <c r="I35" s="609"/>
      <c r="J35" s="60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607" t="s">
        <v>522</v>
      </c>
      <c r="E38" s="607"/>
      <c r="F38" s="607"/>
      <c r="G38" s="607"/>
      <c r="H38" s="607"/>
      <c r="I38" s="607"/>
      <c r="J38" s="15" t="s">
        <v>857</v>
      </c>
      <c r="K38" s="15"/>
      <c r="L38" s="607"/>
      <c r="M38" s="607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232"/>
  <sheetViews>
    <sheetView zoomScalePageLayoutView="0" workbookViewId="0" topLeftCell="A20">
      <selection activeCell="A47" sqref="A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5" t="s">
        <v>384</v>
      </c>
      <c r="B2" s="626"/>
      <c r="C2" s="627" t="str">
        <f>'справка №1-БАЛАНС'!E3</f>
        <v>"ЕНЕМОНА"АД, КОЗЛОДУЙ</v>
      </c>
      <c r="D2" s="627"/>
      <c r="E2" s="627"/>
      <c r="F2" s="627"/>
      <c r="G2" s="627"/>
      <c r="H2" s="627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5" t="s">
        <v>5</v>
      </c>
      <c r="B3" s="626"/>
      <c r="C3" s="628" t="str">
        <f>'справка №1-БАЛАНС'!E5</f>
        <v>01.01.2012-31.03.2013 година</v>
      </c>
      <c r="D3" s="628"/>
      <c r="E3" s="628"/>
      <c r="F3" s="485"/>
      <c r="G3" s="485"/>
      <c r="H3" s="485"/>
      <c r="I3" s="485"/>
      <c r="J3" s="485"/>
      <c r="K3" s="485"/>
      <c r="L3" s="485"/>
      <c r="M3" s="615" t="s">
        <v>4</v>
      </c>
      <c r="N3" s="615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9" t="s">
        <v>464</v>
      </c>
      <c r="B5" s="620"/>
      <c r="C5" s="62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3" t="s">
        <v>530</v>
      </c>
      <c r="R5" s="613" t="s">
        <v>531</v>
      </c>
    </row>
    <row r="6" spans="1:18" s="100" customFormat="1" ht="48">
      <c r="A6" s="621"/>
      <c r="B6" s="622"/>
      <c r="C6" s="62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4"/>
      <c r="R6" s="61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21714</v>
      </c>
      <c r="E10" s="189"/>
      <c r="F10" s="189"/>
      <c r="G10" s="74">
        <f aca="true" t="shared" si="3" ref="G10:G39">D10+E10-F10</f>
        <v>21714</v>
      </c>
      <c r="H10" s="65"/>
      <c r="I10" s="65"/>
      <c r="J10" s="74">
        <f t="shared" si="0"/>
        <v>21714</v>
      </c>
      <c r="K10" s="65">
        <v>2463</v>
      </c>
      <c r="L10" s="65">
        <v>109</v>
      </c>
      <c r="M10" s="65"/>
      <c r="N10" s="74">
        <f aca="true" t="shared" si="4" ref="N10:N39">K10+L10-M10</f>
        <v>2572</v>
      </c>
      <c r="O10" s="65"/>
      <c r="P10" s="65"/>
      <c r="Q10" s="74">
        <f t="shared" si="1"/>
        <v>2572</v>
      </c>
      <c r="R10" s="74">
        <f t="shared" si="2"/>
        <v>19142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4176</v>
      </c>
      <c r="E11" s="189">
        <v>53</v>
      </c>
      <c r="F11" s="189">
        <v>2</v>
      </c>
      <c r="G11" s="74">
        <f t="shared" si="3"/>
        <v>4227</v>
      </c>
      <c r="H11" s="65"/>
      <c r="I11" s="65"/>
      <c r="J11" s="74">
        <f t="shared" si="0"/>
        <v>4227</v>
      </c>
      <c r="K11" s="65">
        <v>3399</v>
      </c>
      <c r="L11" s="65">
        <v>118</v>
      </c>
      <c r="M11" s="65">
        <v>1</v>
      </c>
      <c r="N11" s="74">
        <f t="shared" si="4"/>
        <v>3516</v>
      </c>
      <c r="O11" s="65"/>
      <c r="P11" s="65"/>
      <c r="Q11" s="74">
        <f t="shared" si="1"/>
        <v>3516</v>
      </c>
      <c r="R11" s="74">
        <f t="shared" si="2"/>
        <v>711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6249</v>
      </c>
      <c r="E13" s="189">
        <v>3</v>
      </c>
      <c r="F13" s="189">
        <v>16</v>
      </c>
      <c r="G13" s="74">
        <f t="shared" si="3"/>
        <v>6236</v>
      </c>
      <c r="H13" s="65"/>
      <c r="I13" s="65"/>
      <c r="J13" s="74">
        <f t="shared" si="0"/>
        <v>6236</v>
      </c>
      <c r="K13" s="65">
        <v>2685</v>
      </c>
      <c r="L13" s="65">
        <v>102</v>
      </c>
      <c r="M13" s="65">
        <v>11</v>
      </c>
      <c r="N13" s="74">
        <f t="shared" si="4"/>
        <v>2776</v>
      </c>
      <c r="O13" s="65"/>
      <c r="P13" s="65"/>
      <c r="Q13" s="74">
        <f t="shared" si="1"/>
        <v>2776</v>
      </c>
      <c r="R13" s="74">
        <f t="shared" si="2"/>
        <v>3460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626</v>
      </c>
      <c r="E14" s="189"/>
      <c r="F14" s="189"/>
      <c r="G14" s="74">
        <f t="shared" si="3"/>
        <v>626</v>
      </c>
      <c r="H14" s="65"/>
      <c r="I14" s="65"/>
      <c r="J14" s="74">
        <f t="shared" si="0"/>
        <v>626</v>
      </c>
      <c r="K14" s="65">
        <v>360</v>
      </c>
      <c r="L14" s="65">
        <v>12</v>
      </c>
      <c r="M14" s="65"/>
      <c r="N14" s="74">
        <f t="shared" si="4"/>
        <v>372</v>
      </c>
      <c r="O14" s="65"/>
      <c r="P14" s="65"/>
      <c r="Q14" s="74">
        <f t="shared" si="1"/>
        <v>372</v>
      </c>
      <c r="R14" s="74">
        <f t="shared" si="2"/>
        <v>254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5682</v>
      </c>
      <c r="E15" s="457">
        <v>3</v>
      </c>
      <c r="F15" s="457"/>
      <c r="G15" s="74">
        <f t="shared" si="3"/>
        <v>5685</v>
      </c>
      <c r="H15" s="458"/>
      <c r="I15" s="458"/>
      <c r="J15" s="74">
        <f t="shared" si="0"/>
        <v>5685</v>
      </c>
      <c r="K15" s="458">
        <v>24</v>
      </c>
      <c r="L15" s="458"/>
      <c r="M15" s="458"/>
      <c r="N15" s="74">
        <f t="shared" si="4"/>
        <v>24</v>
      </c>
      <c r="O15" s="458"/>
      <c r="P15" s="458"/>
      <c r="Q15" s="74">
        <f t="shared" si="1"/>
        <v>24</v>
      </c>
      <c r="R15" s="74">
        <f t="shared" si="2"/>
        <v>5661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2034</v>
      </c>
      <c r="E16" s="189">
        <v>9</v>
      </c>
      <c r="F16" s="189">
        <v>1</v>
      </c>
      <c r="G16" s="74">
        <f t="shared" si="3"/>
        <v>2042</v>
      </c>
      <c r="H16" s="65"/>
      <c r="I16" s="65"/>
      <c r="J16" s="74">
        <f t="shared" si="0"/>
        <v>2042</v>
      </c>
      <c r="K16" s="65">
        <v>1404</v>
      </c>
      <c r="L16" s="65">
        <f>68-L14</f>
        <v>56</v>
      </c>
      <c r="M16" s="65"/>
      <c r="N16" s="74">
        <f t="shared" si="4"/>
        <v>1460</v>
      </c>
      <c r="O16" s="65"/>
      <c r="P16" s="65"/>
      <c r="Q16" s="74">
        <f aca="true" t="shared" si="5" ref="Q16:Q25">N16+O16-P16</f>
        <v>1460</v>
      </c>
      <c r="R16" s="74">
        <f aca="true" t="shared" si="6" ref="R16:R25">J16-Q16</f>
        <v>582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46089</v>
      </c>
      <c r="E17" s="194">
        <f>SUM(E9:E16)</f>
        <v>68</v>
      </c>
      <c r="F17" s="194">
        <f>SUM(F9:F16)</f>
        <v>19</v>
      </c>
      <c r="G17" s="74">
        <f t="shared" si="3"/>
        <v>46138</v>
      </c>
      <c r="H17" s="75">
        <f>SUM(H9:H16)</f>
        <v>0</v>
      </c>
      <c r="I17" s="75">
        <f>SUM(I9:I16)</f>
        <v>0</v>
      </c>
      <c r="J17" s="74">
        <f t="shared" si="0"/>
        <v>46138</v>
      </c>
      <c r="K17" s="75">
        <f>SUM(K9:K16)</f>
        <v>10335</v>
      </c>
      <c r="L17" s="75">
        <f>SUM(L9:L16)</f>
        <v>397</v>
      </c>
      <c r="M17" s="75">
        <f>SUM(M9:M16)</f>
        <v>12</v>
      </c>
      <c r="N17" s="74">
        <f t="shared" si="4"/>
        <v>10720</v>
      </c>
      <c r="O17" s="75">
        <f>SUM(O9:O16)</f>
        <v>0</v>
      </c>
      <c r="P17" s="75">
        <f>SUM(P9:P16)</f>
        <v>0</v>
      </c>
      <c r="Q17" s="74">
        <f t="shared" si="5"/>
        <v>10720</v>
      </c>
      <c r="R17" s="74">
        <f t="shared" si="6"/>
        <v>35418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889</v>
      </c>
      <c r="L21" s="65">
        <v>16</v>
      </c>
      <c r="M21" s="65"/>
      <c r="N21" s="74">
        <f t="shared" si="4"/>
        <v>905</v>
      </c>
      <c r="O21" s="65"/>
      <c r="P21" s="65"/>
      <c r="Q21" s="74">
        <f t="shared" si="5"/>
        <v>905</v>
      </c>
      <c r="R21" s="74">
        <f t="shared" si="6"/>
        <v>541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258</v>
      </c>
      <c r="E22" s="189"/>
      <c r="F22" s="189"/>
      <c r="G22" s="74">
        <f t="shared" si="3"/>
        <v>258</v>
      </c>
      <c r="H22" s="65"/>
      <c r="I22" s="65"/>
      <c r="J22" s="74">
        <f t="shared" si="0"/>
        <v>258</v>
      </c>
      <c r="K22" s="65">
        <v>204</v>
      </c>
      <c r="L22" s="65">
        <v>6</v>
      </c>
      <c r="M22" s="65"/>
      <c r="N22" s="74">
        <f t="shared" si="4"/>
        <v>210</v>
      </c>
      <c r="O22" s="65"/>
      <c r="P22" s="65"/>
      <c r="Q22" s="74">
        <f t="shared" si="5"/>
        <v>210</v>
      </c>
      <c r="R22" s="74">
        <f t="shared" si="6"/>
        <v>48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1704</v>
      </c>
      <c r="E25" s="190">
        <f aca="true" t="shared" si="7" ref="E25:P25">SUM(E21:E24)</f>
        <v>0</v>
      </c>
      <c r="F25" s="190">
        <f t="shared" si="7"/>
        <v>0</v>
      </c>
      <c r="G25" s="67">
        <f t="shared" si="3"/>
        <v>1704</v>
      </c>
      <c r="H25" s="66">
        <f t="shared" si="7"/>
        <v>0</v>
      </c>
      <c r="I25" s="66">
        <f t="shared" si="7"/>
        <v>0</v>
      </c>
      <c r="J25" s="67">
        <f t="shared" si="0"/>
        <v>1704</v>
      </c>
      <c r="K25" s="66">
        <f t="shared" si="7"/>
        <v>1093</v>
      </c>
      <c r="L25" s="66">
        <f t="shared" si="7"/>
        <v>22</v>
      </c>
      <c r="M25" s="66">
        <f t="shared" si="7"/>
        <v>0</v>
      </c>
      <c r="N25" s="67">
        <f t="shared" si="4"/>
        <v>1115</v>
      </c>
      <c r="O25" s="66">
        <f t="shared" si="7"/>
        <v>0</v>
      </c>
      <c r="P25" s="66">
        <f t="shared" si="7"/>
        <v>0</v>
      </c>
      <c r="Q25" s="67">
        <f t="shared" si="5"/>
        <v>1115</v>
      </c>
      <c r="R25" s="67">
        <f t="shared" si="6"/>
        <v>589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17222</v>
      </c>
      <c r="E27" s="192">
        <f aca="true" t="shared" si="8" ref="E27:P27">SUM(E28:E31)</f>
        <v>0</v>
      </c>
      <c r="F27" s="192">
        <f t="shared" si="8"/>
        <v>0</v>
      </c>
      <c r="G27" s="71">
        <f t="shared" si="3"/>
        <v>17222</v>
      </c>
      <c r="H27" s="70">
        <f t="shared" si="8"/>
        <v>0</v>
      </c>
      <c r="I27" s="70">
        <f t="shared" si="8"/>
        <v>2412</v>
      </c>
      <c r="J27" s="71">
        <f aca="true" t="shared" si="9" ref="J27:J39">G27+H27-I27</f>
        <v>14810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14810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17218</v>
      </c>
      <c r="E28" s="189"/>
      <c r="F28" s="189"/>
      <c r="G28" s="74">
        <f t="shared" si="3"/>
        <v>17218</v>
      </c>
      <c r="H28" s="65"/>
      <c r="I28" s="65">
        <v>2412</v>
      </c>
      <c r="J28" s="74">
        <f t="shared" si="9"/>
        <v>14806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14806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17222</v>
      </c>
      <c r="E38" s="194">
        <f aca="true" t="shared" si="13" ref="E38:P38">E27+E32+E37</f>
        <v>0</v>
      </c>
      <c r="F38" s="194">
        <f t="shared" si="13"/>
        <v>0</v>
      </c>
      <c r="G38" s="74">
        <f t="shared" si="3"/>
        <v>17222</v>
      </c>
      <c r="H38" s="75">
        <f t="shared" si="13"/>
        <v>0</v>
      </c>
      <c r="I38" s="75">
        <f t="shared" si="13"/>
        <v>2412</v>
      </c>
      <c r="J38" s="74">
        <f t="shared" si="9"/>
        <v>14810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14810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65015</v>
      </c>
      <c r="E40" s="438">
        <f>E17+E18+E19+E25+E38+E39</f>
        <v>68</v>
      </c>
      <c r="F40" s="438">
        <f aca="true" t="shared" si="14" ref="F40:R40">F17+F18+F19+F25+F38+F39</f>
        <v>19</v>
      </c>
      <c r="G40" s="438">
        <f t="shared" si="14"/>
        <v>65064</v>
      </c>
      <c r="H40" s="438">
        <f t="shared" si="14"/>
        <v>0</v>
      </c>
      <c r="I40" s="438">
        <f t="shared" si="14"/>
        <v>2412</v>
      </c>
      <c r="J40" s="438">
        <f t="shared" si="14"/>
        <v>62652</v>
      </c>
      <c r="K40" s="438">
        <f t="shared" si="14"/>
        <v>11428</v>
      </c>
      <c r="L40" s="438">
        <f t="shared" si="14"/>
        <v>419</v>
      </c>
      <c r="M40" s="438">
        <f t="shared" si="14"/>
        <v>12</v>
      </c>
      <c r="N40" s="438">
        <f t="shared" si="14"/>
        <v>11835</v>
      </c>
      <c r="O40" s="438">
        <f t="shared" si="14"/>
        <v>0</v>
      </c>
      <c r="P40" s="438">
        <f t="shared" si="14"/>
        <v>0</v>
      </c>
      <c r="Q40" s="438">
        <f t="shared" si="14"/>
        <v>11835</v>
      </c>
      <c r="R40" s="438">
        <f t="shared" si="14"/>
        <v>50817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6"/>
      <c r="L44" s="616"/>
      <c r="M44" s="616"/>
      <c r="N44" s="616"/>
      <c r="O44" s="617" t="s">
        <v>782</v>
      </c>
      <c r="P44" s="618"/>
      <c r="Q44" s="618"/>
      <c r="R44" s="61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15"/>
  <sheetViews>
    <sheetView zoomScalePageLayoutView="0" workbookViewId="0" topLeftCell="A82">
      <selection activeCell="E104" sqref="E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610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5" t="str">
        <f>'справка №1-БАЛАНС'!E3</f>
        <v>"ЕНЕМОНА"АД, КОЗЛОДУЙ</v>
      </c>
      <c r="C3" s="636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01.01.2012-31.03.2013 година</v>
      </c>
      <c r="C4" s="634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429.41154000000006</v>
      </c>
      <c r="D15" s="108"/>
      <c r="E15" s="120">
        <f t="shared" si="0"/>
        <v>429.41154000000006</v>
      </c>
      <c r="F15" s="106"/>
    </row>
    <row r="16" spans="1:15" ht="12">
      <c r="A16" s="396" t="s">
        <v>630</v>
      </c>
      <c r="B16" s="397" t="s">
        <v>631</v>
      </c>
      <c r="C16" s="119">
        <f>+C17+C18</f>
        <v>8505.32789039411</v>
      </c>
      <c r="D16" s="119">
        <f>+D17+D18</f>
        <v>0</v>
      </c>
      <c r="E16" s="120">
        <f t="shared" si="0"/>
        <v>8505.32789039411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8505.32789039411</v>
      </c>
      <c r="D18" s="108"/>
      <c r="E18" s="120">
        <f t="shared" si="0"/>
        <v>8505.32789039411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8934.739430394111</v>
      </c>
      <c r="D19" s="104">
        <f>D11+D15+D16</f>
        <v>0</v>
      </c>
      <c r="E19" s="118">
        <f>E11+E15+E16</f>
        <v>8934.739430394111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2579</v>
      </c>
      <c r="D21" s="108"/>
      <c r="E21" s="120">
        <f t="shared" si="0"/>
        <v>2579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3181.2257999999993</v>
      </c>
      <c r="D24" s="119">
        <f>SUM(D25:D27)</f>
        <v>3181.2257999999993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500</v>
      </c>
      <c r="D25" s="108">
        <f>C25</f>
        <v>500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'справка №1-БАЛАНС'!C67-C25</f>
        <v>2681.2257999999993</v>
      </c>
      <c r="D26" s="108">
        <f>C26</f>
        <v>2681.2257999999993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53985.02310000001</v>
      </c>
      <c r="D28" s="108">
        <f>C28</f>
        <v>53985.02310000001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11979.10009</v>
      </c>
      <c r="D29" s="108">
        <f>C29</f>
        <v>11979.10009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6791.57416</v>
      </c>
      <c r="D30" s="108">
        <f>C30</f>
        <v>6791.57416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404.31226</v>
      </c>
      <c r="D33" s="105">
        <f>SUM(D34:D37)</f>
        <v>404.31226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404.31226</v>
      </c>
      <c r="D37" s="108">
        <f>C37</f>
        <v>404.31226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3990.4471996058874</v>
      </c>
      <c r="D38" s="105">
        <f>SUM(D39:D42)</f>
        <v>3990.4471996058874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№1-БАЛАНС'!C74+'справка №1-БАЛАНС'!C73</f>
        <v>3990.4471996058874</v>
      </c>
      <c r="D42" s="108">
        <f>C42</f>
        <v>3990.4471996058874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80331.68260960591</v>
      </c>
      <c r="D43" s="104">
        <f>D24+D28+D29+D31+D30+D32+D33+D38</f>
        <v>80331.68260960591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91845.42204000002</v>
      </c>
      <c r="D44" s="103">
        <f>D43+D21+D19+D9</f>
        <v>80331.68260960591</v>
      </c>
      <c r="E44" s="118">
        <f>E43+E21+E19+E9</f>
        <v>11513.739430394111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4188.23115024</v>
      </c>
      <c r="D56" s="103">
        <f>D57+D59</f>
        <v>0</v>
      </c>
      <c r="E56" s="119">
        <f t="shared" si="1"/>
        <v>4188.23115024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4188.23115024</v>
      </c>
      <c r="D57" s="108"/>
      <c r="E57" s="119">
        <f t="shared" si="1"/>
        <v>4188.23115024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31.509970000000003</v>
      </c>
      <c r="D62" s="108"/>
      <c r="E62" s="119">
        <f t="shared" si="1"/>
        <v>31.509970000000003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3381.9647399999994</v>
      </c>
      <c r="D64" s="108"/>
      <c r="E64" s="119">
        <f t="shared" si="1"/>
        <v>3381.9647399999994</v>
      </c>
      <c r="F64" s="110"/>
    </row>
    <row r="65" spans="1:6" ht="12">
      <c r="A65" s="396" t="s">
        <v>710</v>
      </c>
      <c r="B65" s="397" t="s">
        <v>711</v>
      </c>
      <c r="C65" s="109">
        <v>584</v>
      </c>
      <c r="D65" s="109"/>
      <c r="E65" s="119">
        <f t="shared" si="1"/>
        <v>584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7601.705860239999</v>
      </c>
      <c r="D66" s="103">
        <f>D52+D56+D61+D62+D63+D64</f>
        <v>0</v>
      </c>
      <c r="E66" s="119">
        <f t="shared" si="1"/>
        <v>7601.705860239999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2116.8334099999997</v>
      </c>
      <c r="D71" s="105">
        <f>SUM(D72:D74)</f>
        <v>2116.8334099999997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2116.8334099999997</v>
      </c>
      <c r="D72" s="108">
        <f>C72</f>
        <v>2116.8334099999997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66987.17535976</v>
      </c>
      <c r="D75" s="103">
        <f>D76+D78</f>
        <v>66987.17535976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66987.17535976</v>
      </c>
      <c r="D76" s="108">
        <f>C76</f>
        <v>66987.17535976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444</v>
      </c>
      <c r="D80" s="103">
        <f>SUM(D81:D84)</f>
        <v>444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444</v>
      </c>
      <c r="D84" s="108">
        <f>C84</f>
        <v>444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16455.31178</v>
      </c>
      <c r="D85" s="104">
        <f>SUM(D86:D90)+D94</f>
        <v>16455.31178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930.90076</v>
      </c>
      <c r="D86" s="108">
        <f>C86</f>
        <v>930.90076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6803.8704499999985</v>
      </c>
      <c r="D87" s="108">
        <f>C87</f>
        <v>6803.8704499999985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4856</v>
      </c>
      <c r="D88" s="108">
        <f>C88</f>
        <v>4856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2090.18232</v>
      </c>
      <c r="D89" s="108">
        <f>C89</f>
        <v>2090.18232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623.6281700000001</v>
      </c>
      <c r="D90" s="103">
        <f>SUM(D91:D93)</f>
        <v>623.6281700000001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405</v>
      </c>
      <c r="D91" s="108">
        <f>C91</f>
        <v>405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218.62817000000007</v>
      </c>
      <c r="D92" s="108">
        <f>C92</f>
        <v>218.62817000000007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1150.73008</v>
      </c>
      <c r="D94" s="108">
        <f>C94</f>
        <v>1150.73008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7549</v>
      </c>
      <c r="D95" s="108">
        <f>C95</f>
        <v>7549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93552.32054976001</v>
      </c>
      <c r="D96" s="104">
        <f>D85+D80+D75+D71+D95</f>
        <v>93552.32054976001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101154.02641000002</v>
      </c>
      <c r="D97" s="104">
        <f>D96+D68+D66</f>
        <v>93552.32054976001</v>
      </c>
      <c r="E97" s="104">
        <f>E96+E68+E66</f>
        <v>7601.705860239999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35083</v>
      </c>
      <c r="D104" s="108"/>
      <c r="E104" s="108"/>
      <c r="F104" s="125">
        <f>C104+D104-E104</f>
        <v>35083</v>
      </c>
    </row>
    <row r="105" spans="1:16" ht="12">
      <c r="A105" s="412" t="s">
        <v>778</v>
      </c>
      <c r="B105" s="395" t="s">
        <v>779</v>
      </c>
      <c r="C105" s="103">
        <f>SUM(C102:C104)</f>
        <v>35083</v>
      </c>
      <c r="D105" s="103">
        <f>SUM(D102:D104)</f>
        <v>0</v>
      </c>
      <c r="E105" s="103">
        <f>SUM(E102:E104)</f>
        <v>0</v>
      </c>
      <c r="F105" s="103">
        <f>SUM(F102:F104)</f>
        <v>35083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781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868</v>
      </c>
      <c r="B109" s="630"/>
      <c r="C109" s="630" t="s">
        <v>382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782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64"/>
  <sheetViews>
    <sheetView zoomScalePageLayoutView="0" workbookViewId="0" topLeftCell="A1">
      <selection activeCell="D22" sqref="D2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6"/>
      <c r="B2" s="577"/>
      <c r="C2" s="418"/>
      <c r="D2" s="421"/>
      <c r="E2" s="418"/>
      <c r="F2" s="418"/>
      <c r="G2" s="418"/>
      <c r="H2" s="416"/>
      <c r="I2" s="416"/>
    </row>
    <row r="3" spans="1:9" ht="12">
      <c r="A3" s="576"/>
      <c r="B3" s="577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7" t="str">
        <f>'справка №1-БАЛАНС'!E3</f>
        <v>"ЕНЕМОНА"АД, КОЗЛОДУЙ</v>
      </c>
      <c r="C4" s="637"/>
      <c r="D4" s="637"/>
      <c r="E4" s="637"/>
      <c r="F4" s="637"/>
      <c r="G4" s="643" t="s">
        <v>2</v>
      </c>
      <c r="H4" s="643"/>
      <c r="I4" s="500" t="str">
        <f>'справка №1-БАЛАНС'!H3</f>
        <v>,020955078</v>
      </c>
    </row>
    <row r="5" spans="1:9" ht="15">
      <c r="A5" s="501" t="s">
        <v>5</v>
      </c>
      <c r="B5" s="638" t="str">
        <f>'справка №1-БАЛАНС'!E5</f>
        <v>01.01.2012-31.03.2013 година</v>
      </c>
      <c r="C5" s="638"/>
      <c r="D5" s="638"/>
      <c r="E5" s="638"/>
      <c r="F5" s="638"/>
      <c r="G5" s="641" t="s">
        <v>4</v>
      </c>
      <c r="H5" s="642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f>'справка №5'!D28</f>
        <v>17218</v>
      </c>
      <c r="G12" s="98"/>
      <c r="H12" s="98">
        <v>2412</v>
      </c>
      <c r="I12" s="434">
        <f>F12+G12-H12</f>
        <v>14806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17222</v>
      </c>
      <c r="G17" s="85">
        <f t="shared" si="1"/>
        <v>0</v>
      </c>
      <c r="H17" s="85">
        <f t="shared" si="1"/>
        <v>2412</v>
      </c>
      <c r="I17" s="434">
        <f t="shared" si="0"/>
        <v>14810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868</v>
      </c>
      <c r="B30" s="640"/>
      <c r="C30" s="640"/>
      <c r="D30" s="459" t="s">
        <v>818</v>
      </c>
      <c r="E30" s="639"/>
      <c r="F30" s="639"/>
      <c r="G30" s="639"/>
      <c r="H30" s="420" t="s">
        <v>782</v>
      </c>
      <c r="I30" s="639"/>
      <c r="J30" s="63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50"/>
  <sheetViews>
    <sheetView tabSelected="1" zoomScalePageLayoutView="0" workbookViewId="0" topLeftCell="A1">
      <selection activeCell="A63" sqref="A63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8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79"/>
      <c r="E1" s="507"/>
      <c r="F1" s="507"/>
    </row>
    <row r="2" spans="1:6" ht="12.75" customHeight="1">
      <c r="A2" s="145" t="s">
        <v>819</v>
      </c>
      <c r="B2" s="145"/>
      <c r="C2" s="145"/>
      <c r="D2" s="580"/>
      <c r="E2" s="145"/>
      <c r="F2" s="145"/>
    </row>
    <row r="3" spans="1:6" ht="12.75" customHeight="1">
      <c r="A3" s="145" t="s">
        <v>820</v>
      </c>
      <c r="B3" s="145"/>
      <c r="C3" s="145"/>
      <c r="D3" s="580"/>
      <c r="E3" s="145"/>
      <c r="F3" s="145"/>
    </row>
    <row r="4" spans="1:6" ht="12.75" customHeight="1">
      <c r="A4" s="25"/>
      <c r="B4" s="24"/>
      <c r="C4" s="25"/>
      <c r="D4" s="581"/>
      <c r="E4" s="25"/>
      <c r="F4" s="25"/>
    </row>
    <row r="5" spans="1:6" ht="12.75" customHeight="1">
      <c r="A5" s="26" t="s">
        <v>384</v>
      </c>
      <c r="B5" s="644" t="str">
        <f>'справка №1-БАЛАНС'!E3</f>
        <v>"ЕНЕМОНА"АД, КОЗЛОДУЙ</v>
      </c>
      <c r="C5" s="644"/>
      <c r="D5" s="644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5" t="str">
        <f>'справка №1-БАЛАНС'!E5</f>
        <v>01.01.2012-31.03.2013 година</v>
      </c>
      <c r="C6" s="645"/>
      <c r="D6" s="582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3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4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4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5"/>
      <c r="E10" s="429"/>
      <c r="F10" s="429"/>
    </row>
    <row r="11" spans="1:6" ht="18" customHeight="1">
      <c r="A11" s="36" t="s">
        <v>828</v>
      </c>
      <c r="B11" s="37"/>
      <c r="C11" s="429"/>
      <c r="D11" s="585"/>
      <c r="E11" s="429"/>
      <c r="F11" s="429"/>
    </row>
    <row r="12" spans="1:6" ht="12.75">
      <c r="A12" s="36" t="s">
        <v>873</v>
      </c>
      <c r="B12" s="37"/>
      <c r="C12" s="441">
        <v>1719</v>
      </c>
      <c r="D12" s="586">
        <v>97.24</v>
      </c>
      <c r="E12" s="441"/>
      <c r="F12" s="443">
        <f aca="true" t="shared" si="0" ref="F12:F22">C12-E12</f>
        <v>1719</v>
      </c>
    </row>
    <row r="13" spans="1:6" ht="12.75">
      <c r="A13" s="36" t="s">
        <v>874</v>
      </c>
      <c r="B13" s="37"/>
      <c r="C13" s="441">
        <v>4860</v>
      </c>
      <c r="D13" s="586">
        <v>88.97</v>
      </c>
      <c r="E13" s="441"/>
      <c r="F13" s="443">
        <f t="shared" si="0"/>
        <v>4860</v>
      </c>
    </row>
    <row r="14" spans="1:6" ht="12.75">
      <c r="A14" s="36" t="s">
        <v>875</v>
      </c>
      <c r="B14" s="37"/>
      <c r="C14" s="441">
        <v>42</v>
      </c>
      <c r="D14" s="586">
        <v>84</v>
      </c>
      <c r="E14" s="441"/>
      <c r="F14" s="443">
        <f t="shared" si="0"/>
        <v>42</v>
      </c>
    </row>
    <row r="15" spans="1:6" ht="12.75">
      <c r="A15" s="36" t="s">
        <v>876</v>
      </c>
      <c r="B15" s="37"/>
      <c r="C15" s="441">
        <v>1800</v>
      </c>
      <c r="D15" s="586">
        <v>90</v>
      </c>
      <c r="E15" s="441"/>
      <c r="F15" s="443">
        <f t="shared" si="0"/>
        <v>1800</v>
      </c>
    </row>
    <row r="16" spans="1:6" ht="12.75">
      <c r="A16" s="36" t="s">
        <v>877</v>
      </c>
      <c r="B16" s="37"/>
      <c r="C16" s="441">
        <v>450</v>
      </c>
      <c r="D16" s="586">
        <v>69.23</v>
      </c>
      <c r="E16" s="441"/>
      <c r="F16" s="443">
        <f t="shared" si="0"/>
        <v>450</v>
      </c>
    </row>
    <row r="17" spans="1:6" ht="12.75">
      <c r="A17" s="36" t="s">
        <v>878</v>
      </c>
      <c r="B17" s="37"/>
      <c r="C17" s="441">
        <v>25</v>
      </c>
      <c r="D17" s="586">
        <v>50</v>
      </c>
      <c r="E17" s="441"/>
      <c r="F17" s="443">
        <f t="shared" si="0"/>
        <v>25</v>
      </c>
    </row>
    <row r="18" spans="1:6" ht="12.75">
      <c r="A18" s="36" t="s">
        <v>879</v>
      </c>
      <c r="B18" s="37"/>
      <c r="C18" s="441">
        <f>429-356</f>
        <v>73</v>
      </c>
      <c r="D18" s="586">
        <v>99</v>
      </c>
      <c r="E18" s="441"/>
      <c r="F18" s="443">
        <f t="shared" si="0"/>
        <v>73</v>
      </c>
    </row>
    <row r="19" spans="1:6" ht="12.75">
      <c r="A19" s="36" t="s">
        <v>880</v>
      </c>
      <c r="B19" s="37"/>
      <c r="C19" s="441">
        <v>1119</v>
      </c>
      <c r="D19" s="586">
        <v>100</v>
      </c>
      <c r="E19" s="441"/>
      <c r="F19" s="443">
        <f t="shared" si="0"/>
        <v>1119</v>
      </c>
    </row>
    <row r="20" spans="1:6" ht="12" customHeight="1">
      <c r="A20" s="36" t="s">
        <v>881</v>
      </c>
      <c r="B20" s="37"/>
      <c r="C20" s="441">
        <v>45</v>
      </c>
      <c r="D20" s="586">
        <v>90</v>
      </c>
      <c r="E20" s="441"/>
      <c r="F20" s="443">
        <f t="shared" si="0"/>
        <v>45</v>
      </c>
    </row>
    <row r="21" spans="1:6" ht="12.75">
      <c r="A21" s="36" t="s">
        <v>882</v>
      </c>
      <c r="B21" s="37"/>
      <c r="C21" s="441">
        <f>5913-1300</f>
        <v>4613</v>
      </c>
      <c r="D21" s="586">
        <v>77.36</v>
      </c>
      <c r="E21" s="441"/>
      <c r="F21" s="443">
        <f t="shared" si="0"/>
        <v>4613</v>
      </c>
    </row>
    <row r="22" spans="1:6" ht="12.75">
      <c r="A22" s="36" t="s">
        <v>883</v>
      </c>
      <c r="B22" s="37"/>
      <c r="C22" s="441">
        <v>60</v>
      </c>
      <c r="D22" s="586">
        <v>100</v>
      </c>
      <c r="E22" s="441"/>
      <c r="F22" s="443">
        <f t="shared" si="0"/>
        <v>60</v>
      </c>
    </row>
    <row r="23" spans="1:16" ht="11.25" customHeight="1">
      <c r="A23" s="38" t="s">
        <v>565</v>
      </c>
      <c r="B23" s="39" t="s">
        <v>831</v>
      </c>
      <c r="C23" s="429">
        <f>SUM(C12:C22)</f>
        <v>14806</v>
      </c>
      <c r="D23" s="585"/>
      <c r="E23" s="429">
        <f>SUM(E12:E21)</f>
        <v>0</v>
      </c>
      <c r="F23" s="442">
        <f>SUM(F12:F22)</f>
        <v>14806</v>
      </c>
      <c r="G23" s="515"/>
      <c r="H23" s="515"/>
      <c r="I23" s="515"/>
      <c r="J23" s="515"/>
      <c r="K23" s="515"/>
      <c r="L23" s="515"/>
      <c r="M23" s="515"/>
      <c r="N23" s="515"/>
      <c r="O23" s="515"/>
      <c r="P23" s="515"/>
    </row>
    <row r="24" spans="1:6" ht="16.5" customHeight="1">
      <c r="A24" s="36" t="s">
        <v>832</v>
      </c>
      <c r="B24" s="40"/>
      <c r="C24" s="429"/>
      <c r="D24" s="585"/>
      <c r="E24" s="429"/>
      <c r="F24" s="442"/>
    </row>
    <row r="25" spans="1:6" ht="12.75">
      <c r="A25" s="36" t="s">
        <v>544</v>
      </c>
      <c r="B25" s="40"/>
      <c r="C25" s="441"/>
      <c r="D25" s="586"/>
      <c r="E25" s="441"/>
      <c r="F25" s="443">
        <f>C25-E25</f>
        <v>0</v>
      </c>
    </row>
    <row r="26" spans="1:6" ht="12.75">
      <c r="A26" s="36" t="s">
        <v>547</v>
      </c>
      <c r="B26" s="40"/>
      <c r="C26" s="441"/>
      <c r="D26" s="586"/>
      <c r="E26" s="441"/>
      <c r="F26" s="443">
        <f aca="true" t="shared" si="1" ref="F26:F39">C26-E26</f>
        <v>0</v>
      </c>
    </row>
    <row r="27" spans="1:6" ht="12.75">
      <c r="A27" s="36" t="s">
        <v>550</v>
      </c>
      <c r="B27" s="40"/>
      <c r="C27" s="441"/>
      <c r="D27" s="586"/>
      <c r="E27" s="441"/>
      <c r="F27" s="443">
        <f t="shared" si="1"/>
        <v>0</v>
      </c>
    </row>
    <row r="28" spans="1:6" ht="12.75">
      <c r="A28" s="36" t="s">
        <v>553</v>
      </c>
      <c r="B28" s="40"/>
      <c r="C28" s="441"/>
      <c r="D28" s="586"/>
      <c r="E28" s="441"/>
      <c r="F28" s="443">
        <f t="shared" si="1"/>
        <v>0</v>
      </c>
    </row>
    <row r="29" spans="1:6" ht="12.75">
      <c r="A29" s="36">
        <v>5</v>
      </c>
      <c r="B29" s="37"/>
      <c r="C29" s="441"/>
      <c r="D29" s="586"/>
      <c r="E29" s="441"/>
      <c r="F29" s="443">
        <f t="shared" si="1"/>
        <v>0</v>
      </c>
    </row>
    <row r="30" spans="1:6" ht="12.75">
      <c r="A30" s="36">
        <v>6</v>
      </c>
      <c r="B30" s="37"/>
      <c r="C30" s="441"/>
      <c r="D30" s="586"/>
      <c r="E30" s="441"/>
      <c r="F30" s="443">
        <f t="shared" si="1"/>
        <v>0</v>
      </c>
    </row>
    <row r="31" spans="1:6" ht="12.75">
      <c r="A31" s="36">
        <v>7</v>
      </c>
      <c r="B31" s="37"/>
      <c r="C31" s="441"/>
      <c r="D31" s="586"/>
      <c r="E31" s="441"/>
      <c r="F31" s="443">
        <f t="shared" si="1"/>
        <v>0</v>
      </c>
    </row>
    <row r="32" spans="1:6" ht="12.75">
      <c r="A32" s="36">
        <v>8</v>
      </c>
      <c r="B32" s="37"/>
      <c r="C32" s="441"/>
      <c r="D32" s="586"/>
      <c r="E32" s="441"/>
      <c r="F32" s="443">
        <f t="shared" si="1"/>
        <v>0</v>
      </c>
    </row>
    <row r="33" spans="1:6" ht="12.75">
      <c r="A33" s="36">
        <v>9</v>
      </c>
      <c r="B33" s="37"/>
      <c r="C33" s="441"/>
      <c r="D33" s="586"/>
      <c r="E33" s="441"/>
      <c r="F33" s="443">
        <f t="shared" si="1"/>
        <v>0</v>
      </c>
    </row>
    <row r="34" spans="1:6" ht="12.75">
      <c r="A34" s="36">
        <v>10</v>
      </c>
      <c r="B34" s="37"/>
      <c r="C34" s="441"/>
      <c r="D34" s="586"/>
      <c r="E34" s="441"/>
      <c r="F34" s="443">
        <f t="shared" si="1"/>
        <v>0</v>
      </c>
    </row>
    <row r="35" spans="1:6" ht="12.75">
      <c r="A35" s="36">
        <v>11</v>
      </c>
      <c r="B35" s="37"/>
      <c r="C35" s="441"/>
      <c r="D35" s="586"/>
      <c r="E35" s="441"/>
      <c r="F35" s="443">
        <f t="shared" si="1"/>
        <v>0</v>
      </c>
    </row>
    <row r="36" spans="1:6" ht="12.75">
      <c r="A36" s="36">
        <v>12</v>
      </c>
      <c r="B36" s="37"/>
      <c r="C36" s="441"/>
      <c r="D36" s="586"/>
      <c r="E36" s="441"/>
      <c r="F36" s="443">
        <f t="shared" si="1"/>
        <v>0</v>
      </c>
    </row>
    <row r="37" spans="1:6" ht="12.75">
      <c r="A37" s="36">
        <v>13</v>
      </c>
      <c r="B37" s="37"/>
      <c r="C37" s="441"/>
      <c r="D37" s="586"/>
      <c r="E37" s="441"/>
      <c r="F37" s="443">
        <f t="shared" si="1"/>
        <v>0</v>
      </c>
    </row>
    <row r="38" spans="1:6" ht="12" customHeight="1">
      <c r="A38" s="36">
        <v>14</v>
      </c>
      <c r="B38" s="37"/>
      <c r="C38" s="441"/>
      <c r="D38" s="586"/>
      <c r="E38" s="441"/>
      <c r="F38" s="443">
        <f t="shared" si="1"/>
        <v>0</v>
      </c>
    </row>
    <row r="39" spans="1:6" ht="12.75">
      <c r="A39" s="36">
        <v>15</v>
      </c>
      <c r="B39" s="37"/>
      <c r="C39" s="441"/>
      <c r="D39" s="586"/>
      <c r="E39" s="441"/>
      <c r="F39" s="443">
        <f t="shared" si="1"/>
        <v>0</v>
      </c>
    </row>
    <row r="40" spans="1:16" ht="15" customHeight="1">
      <c r="A40" s="38" t="s">
        <v>582</v>
      </c>
      <c r="B40" s="39" t="s">
        <v>833</v>
      </c>
      <c r="C40" s="429">
        <f>SUM(C25:C39)</f>
        <v>0</v>
      </c>
      <c r="D40" s="585"/>
      <c r="E40" s="429">
        <f>SUM(E25:E39)</f>
        <v>0</v>
      </c>
      <c r="F40" s="442">
        <f>SUM(F25:F39)</f>
        <v>0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2.75" customHeight="1">
      <c r="A41" s="36" t="s">
        <v>834</v>
      </c>
      <c r="B41" s="40"/>
      <c r="C41" s="429"/>
      <c r="D41" s="585"/>
      <c r="E41" s="429"/>
      <c r="F41" s="442"/>
    </row>
    <row r="42" spans="1:6" ht="12.75">
      <c r="A42" s="36" t="s">
        <v>867</v>
      </c>
      <c r="B42" s="40"/>
      <c r="C42" s="441">
        <v>4</v>
      </c>
      <c r="D42" s="586">
        <v>40</v>
      </c>
      <c r="E42" s="441"/>
      <c r="F42" s="443">
        <f>C42-E42</f>
        <v>4</v>
      </c>
    </row>
    <row r="43" spans="1:6" ht="12.75">
      <c r="A43" s="36">
        <v>2</v>
      </c>
      <c r="B43" s="40"/>
      <c r="C43" s="441"/>
      <c r="D43" s="586"/>
      <c r="E43" s="441"/>
      <c r="F43" s="443">
        <f aca="true" t="shared" si="2" ref="F43:F56">C43-E43</f>
        <v>0</v>
      </c>
    </row>
    <row r="44" spans="1:6" ht="12.75">
      <c r="A44" s="36" t="s">
        <v>550</v>
      </c>
      <c r="B44" s="40"/>
      <c r="C44" s="441"/>
      <c r="D44" s="586"/>
      <c r="E44" s="441"/>
      <c r="F44" s="443">
        <f t="shared" si="2"/>
        <v>0</v>
      </c>
    </row>
    <row r="45" spans="1:6" ht="12.75">
      <c r="A45" s="36" t="s">
        <v>553</v>
      </c>
      <c r="B45" s="40"/>
      <c r="C45" s="441"/>
      <c r="D45" s="586"/>
      <c r="E45" s="441"/>
      <c r="F45" s="443">
        <f t="shared" si="2"/>
        <v>0</v>
      </c>
    </row>
    <row r="46" spans="1:6" ht="12.75">
      <c r="A46" s="36">
        <v>5</v>
      </c>
      <c r="B46" s="37"/>
      <c r="C46" s="441"/>
      <c r="D46" s="586"/>
      <c r="E46" s="441"/>
      <c r="F46" s="443">
        <f t="shared" si="2"/>
        <v>0</v>
      </c>
    </row>
    <row r="47" spans="1:6" ht="12.75">
      <c r="A47" s="36">
        <v>6</v>
      </c>
      <c r="B47" s="37"/>
      <c r="C47" s="441"/>
      <c r="D47" s="586"/>
      <c r="E47" s="441"/>
      <c r="F47" s="443">
        <f t="shared" si="2"/>
        <v>0</v>
      </c>
    </row>
    <row r="48" spans="1:6" ht="12.75">
      <c r="A48" s="36">
        <v>7</v>
      </c>
      <c r="B48" s="37"/>
      <c r="C48" s="441"/>
      <c r="D48" s="586"/>
      <c r="E48" s="441"/>
      <c r="F48" s="443">
        <f t="shared" si="2"/>
        <v>0</v>
      </c>
    </row>
    <row r="49" spans="1:6" ht="12.75">
      <c r="A49" s="36">
        <v>8</v>
      </c>
      <c r="B49" s="37"/>
      <c r="C49" s="441"/>
      <c r="D49" s="586"/>
      <c r="E49" s="441"/>
      <c r="F49" s="443">
        <f t="shared" si="2"/>
        <v>0</v>
      </c>
    </row>
    <row r="50" spans="1:6" ht="12.75">
      <c r="A50" s="36">
        <v>9</v>
      </c>
      <c r="B50" s="37"/>
      <c r="C50" s="441"/>
      <c r="D50" s="586"/>
      <c r="E50" s="441"/>
      <c r="F50" s="443">
        <f t="shared" si="2"/>
        <v>0</v>
      </c>
    </row>
    <row r="51" spans="1:6" ht="12.75">
      <c r="A51" s="36">
        <v>10</v>
      </c>
      <c r="B51" s="37"/>
      <c r="C51" s="441"/>
      <c r="D51" s="586"/>
      <c r="E51" s="441"/>
      <c r="F51" s="443">
        <f t="shared" si="2"/>
        <v>0</v>
      </c>
    </row>
    <row r="52" spans="1:6" ht="12.75">
      <c r="A52" s="36">
        <v>11</v>
      </c>
      <c r="B52" s="37"/>
      <c r="C52" s="441"/>
      <c r="D52" s="586"/>
      <c r="E52" s="441"/>
      <c r="F52" s="443">
        <f t="shared" si="2"/>
        <v>0</v>
      </c>
    </row>
    <row r="53" spans="1:6" ht="12.75">
      <c r="A53" s="36">
        <v>12</v>
      </c>
      <c r="B53" s="37"/>
      <c r="C53" s="441"/>
      <c r="D53" s="586"/>
      <c r="E53" s="441"/>
      <c r="F53" s="443">
        <f t="shared" si="2"/>
        <v>0</v>
      </c>
    </row>
    <row r="54" spans="1:6" ht="12.75">
      <c r="A54" s="36">
        <v>13</v>
      </c>
      <c r="B54" s="37"/>
      <c r="C54" s="441"/>
      <c r="D54" s="586"/>
      <c r="E54" s="441"/>
      <c r="F54" s="443">
        <f t="shared" si="2"/>
        <v>0</v>
      </c>
    </row>
    <row r="55" spans="1:6" ht="12" customHeight="1">
      <c r="A55" s="36">
        <v>14</v>
      </c>
      <c r="B55" s="37"/>
      <c r="C55" s="441"/>
      <c r="D55" s="586"/>
      <c r="E55" s="441"/>
      <c r="F55" s="443">
        <f t="shared" si="2"/>
        <v>0</v>
      </c>
    </row>
    <row r="56" spans="1:6" ht="12.75">
      <c r="A56" s="36">
        <v>15</v>
      </c>
      <c r="B56" s="37"/>
      <c r="C56" s="441"/>
      <c r="D56" s="586"/>
      <c r="E56" s="441"/>
      <c r="F56" s="443">
        <f t="shared" si="2"/>
        <v>0</v>
      </c>
    </row>
    <row r="57" spans="1:16" ht="12" customHeight="1">
      <c r="A57" s="38" t="s">
        <v>601</v>
      </c>
      <c r="B57" s="39" t="s">
        <v>835</v>
      </c>
      <c r="C57" s="429">
        <f>SUM(C42:C56)</f>
        <v>4</v>
      </c>
      <c r="D57" s="585"/>
      <c r="E57" s="429">
        <f>SUM(E42:E56)</f>
        <v>0</v>
      </c>
      <c r="F57" s="442">
        <f>SUM(F42:F56)</f>
        <v>4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8.75" customHeight="1">
      <c r="A58" s="36" t="s">
        <v>836</v>
      </c>
      <c r="B58" s="40"/>
      <c r="C58" s="429"/>
      <c r="D58" s="585"/>
      <c r="E58" s="429"/>
      <c r="F58" s="442"/>
    </row>
    <row r="59" spans="1:6" ht="12.75">
      <c r="A59" s="36">
        <v>1</v>
      </c>
      <c r="B59" s="40"/>
      <c r="C59" s="441"/>
      <c r="D59" s="586"/>
      <c r="E59" s="441"/>
      <c r="F59" s="443">
        <f>C59-E59</f>
        <v>0</v>
      </c>
    </row>
    <row r="60" spans="1:6" ht="12.75">
      <c r="A60" s="36">
        <v>2</v>
      </c>
      <c r="B60" s="40"/>
      <c r="C60" s="441"/>
      <c r="D60" s="586"/>
      <c r="E60" s="441"/>
      <c r="F60" s="443">
        <f aca="true" t="shared" si="3" ref="F60:F73">C60-E60</f>
        <v>0</v>
      </c>
    </row>
    <row r="61" spans="1:6" ht="12.75">
      <c r="A61" s="36">
        <v>3</v>
      </c>
      <c r="B61" s="40"/>
      <c r="C61" s="441"/>
      <c r="D61" s="586"/>
      <c r="E61" s="441"/>
      <c r="F61" s="443">
        <f t="shared" si="3"/>
        <v>0</v>
      </c>
    </row>
    <row r="62" spans="1:6" ht="12.75">
      <c r="A62" s="36">
        <v>4</v>
      </c>
      <c r="B62" s="40"/>
      <c r="C62" s="441"/>
      <c r="D62" s="586"/>
      <c r="E62" s="441"/>
      <c r="F62" s="443">
        <f t="shared" si="3"/>
        <v>0</v>
      </c>
    </row>
    <row r="63" spans="1:6" ht="12.75">
      <c r="A63" s="36">
        <v>5</v>
      </c>
      <c r="B63" s="37"/>
      <c r="C63" s="441"/>
      <c r="D63" s="586"/>
      <c r="E63" s="441"/>
      <c r="F63" s="443">
        <f t="shared" si="3"/>
        <v>0</v>
      </c>
    </row>
    <row r="64" spans="1:6" ht="12.75">
      <c r="A64" s="36">
        <v>6</v>
      </c>
      <c r="B64" s="37"/>
      <c r="C64" s="441"/>
      <c r="D64" s="586"/>
      <c r="E64" s="441"/>
      <c r="F64" s="443">
        <f t="shared" si="3"/>
        <v>0</v>
      </c>
    </row>
    <row r="65" spans="1:6" ht="12.75">
      <c r="A65" s="36">
        <v>7</v>
      </c>
      <c r="B65" s="37"/>
      <c r="C65" s="441"/>
      <c r="D65" s="586"/>
      <c r="E65" s="441"/>
      <c r="F65" s="443">
        <f t="shared" si="3"/>
        <v>0</v>
      </c>
    </row>
    <row r="66" spans="1:6" ht="12.75">
      <c r="A66" s="36">
        <v>8</v>
      </c>
      <c r="B66" s="37"/>
      <c r="C66" s="441"/>
      <c r="D66" s="586"/>
      <c r="E66" s="441"/>
      <c r="F66" s="443">
        <f t="shared" si="3"/>
        <v>0</v>
      </c>
    </row>
    <row r="67" spans="1:6" ht="12.75">
      <c r="A67" s="36">
        <v>9</v>
      </c>
      <c r="B67" s="37"/>
      <c r="C67" s="441"/>
      <c r="D67" s="586"/>
      <c r="E67" s="441"/>
      <c r="F67" s="443">
        <f t="shared" si="3"/>
        <v>0</v>
      </c>
    </row>
    <row r="68" spans="1:6" ht="12.75">
      <c r="A68" s="36">
        <v>10</v>
      </c>
      <c r="B68" s="37"/>
      <c r="C68" s="441"/>
      <c r="D68" s="586"/>
      <c r="E68" s="441"/>
      <c r="F68" s="443">
        <f t="shared" si="3"/>
        <v>0</v>
      </c>
    </row>
    <row r="69" spans="1:6" ht="12.75">
      <c r="A69" s="36">
        <v>11</v>
      </c>
      <c r="B69" s="37"/>
      <c r="C69" s="441"/>
      <c r="D69" s="586"/>
      <c r="E69" s="441"/>
      <c r="F69" s="443">
        <f t="shared" si="3"/>
        <v>0</v>
      </c>
    </row>
    <row r="70" spans="1:6" ht="12.75">
      <c r="A70" s="36">
        <v>12</v>
      </c>
      <c r="B70" s="37"/>
      <c r="C70" s="441"/>
      <c r="D70" s="586"/>
      <c r="E70" s="441"/>
      <c r="F70" s="443">
        <f t="shared" si="3"/>
        <v>0</v>
      </c>
    </row>
    <row r="71" spans="1:6" ht="12.75">
      <c r="A71" s="36">
        <v>13</v>
      </c>
      <c r="B71" s="37"/>
      <c r="C71" s="441"/>
      <c r="D71" s="586"/>
      <c r="E71" s="441"/>
      <c r="F71" s="443">
        <f t="shared" si="3"/>
        <v>0</v>
      </c>
    </row>
    <row r="72" spans="1:6" ht="12" customHeight="1">
      <c r="A72" s="36">
        <v>14</v>
      </c>
      <c r="B72" s="37"/>
      <c r="C72" s="441"/>
      <c r="D72" s="586"/>
      <c r="E72" s="441"/>
      <c r="F72" s="443">
        <f t="shared" si="3"/>
        <v>0</v>
      </c>
    </row>
    <row r="73" spans="1:6" ht="12.75">
      <c r="A73" s="36">
        <v>15</v>
      </c>
      <c r="B73" s="37"/>
      <c r="C73" s="441"/>
      <c r="D73" s="586"/>
      <c r="E73" s="441"/>
      <c r="F73" s="443">
        <f t="shared" si="3"/>
        <v>0</v>
      </c>
    </row>
    <row r="74" spans="1:16" ht="14.25" customHeight="1">
      <c r="A74" s="38" t="s">
        <v>837</v>
      </c>
      <c r="B74" s="39" t="s">
        <v>838</v>
      </c>
      <c r="C74" s="429">
        <f>SUM(C59:C73)</f>
        <v>0</v>
      </c>
      <c r="D74" s="585"/>
      <c r="E74" s="429">
        <f>SUM(E59:E73)</f>
        <v>0</v>
      </c>
      <c r="F74" s="442">
        <f>SUM(F59:F73)</f>
        <v>0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16" ht="20.25" customHeight="1">
      <c r="A75" s="41" t="s">
        <v>839</v>
      </c>
      <c r="B75" s="39" t="s">
        <v>840</v>
      </c>
      <c r="C75" s="429">
        <f>C74+C57+C40+C23</f>
        <v>14810</v>
      </c>
      <c r="D75" s="585"/>
      <c r="E75" s="429">
        <f>E74+E57+E40+E23</f>
        <v>0</v>
      </c>
      <c r="F75" s="442">
        <f>F74+F57+F40+F23</f>
        <v>14810</v>
      </c>
      <c r="G75" s="515"/>
      <c r="H75" s="515"/>
      <c r="I75" s="515"/>
      <c r="J75" s="515"/>
      <c r="K75" s="515"/>
      <c r="L75" s="515"/>
      <c r="M75" s="515"/>
      <c r="N75" s="515"/>
      <c r="O75" s="515"/>
      <c r="P75" s="515"/>
    </row>
    <row r="76" spans="1:6" ht="15" customHeight="1">
      <c r="A76" s="34" t="s">
        <v>841</v>
      </c>
      <c r="B76" s="39"/>
      <c r="C76" s="429"/>
      <c r="D76" s="585"/>
      <c r="E76" s="429"/>
      <c r="F76" s="442"/>
    </row>
    <row r="77" spans="1:6" ht="14.25" customHeight="1">
      <c r="A77" s="36" t="s">
        <v>828</v>
      </c>
      <c r="B77" s="40"/>
      <c r="C77" s="429"/>
      <c r="D77" s="585"/>
      <c r="E77" s="429"/>
      <c r="F77" s="442"/>
    </row>
    <row r="78" spans="1:6" ht="12.75">
      <c r="A78" s="36" t="s">
        <v>829</v>
      </c>
      <c r="B78" s="40"/>
      <c r="C78" s="441"/>
      <c r="D78" s="586"/>
      <c r="E78" s="441"/>
      <c r="F78" s="443">
        <f>C78-E78</f>
        <v>0</v>
      </c>
    </row>
    <row r="79" spans="1:6" ht="12.75">
      <c r="A79" s="36" t="s">
        <v>830</v>
      </c>
      <c r="B79" s="40"/>
      <c r="C79" s="441"/>
      <c r="D79" s="586"/>
      <c r="E79" s="441"/>
      <c r="F79" s="443">
        <f aca="true" t="shared" si="4" ref="F79:F92">C79-E79</f>
        <v>0</v>
      </c>
    </row>
    <row r="80" spans="1:6" ht="12.75">
      <c r="A80" s="36" t="s">
        <v>550</v>
      </c>
      <c r="B80" s="40"/>
      <c r="C80" s="441"/>
      <c r="D80" s="586"/>
      <c r="E80" s="441"/>
      <c r="F80" s="443">
        <f t="shared" si="4"/>
        <v>0</v>
      </c>
    </row>
    <row r="81" spans="1:6" ht="12.75">
      <c r="A81" s="36" t="s">
        <v>553</v>
      </c>
      <c r="B81" s="40"/>
      <c r="C81" s="441"/>
      <c r="D81" s="586"/>
      <c r="E81" s="441"/>
      <c r="F81" s="443">
        <f t="shared" si="4"/>
        <v>0</v>
      </c>
    </row>
    <row r="82" spans="1:6" ht="12.75">
      <c r="A82" s="36">
        <v>5</v>
      </c>
      <c r="B82" s="37"/>
      <c r="C82" s="441"/>
      <c r="D82" s="586"/>
      <c r="E82" s="441"/>
      <c r="F82" s="443">
        <f t="shared" si="4"/>
        <v>0</v>
      </c>
    </row>
    <row r="83" spans="1:6" ht="12.75">
      <c r="A83" s="36">
        <v>6</v>
      </c>
      <c r="B83" s="37"/>
      <c r="C83" s="441"/>
      <c r="D83" s="586"/>
      <c r="E83" s="441"/>
      <c r="F83" s="443">
        <f t="shared" si="4"/>
        <v>0</v>
      </c>
    </row>
    <row r="84" spans="1:6" ht="12.75">
      <c r="A84" s="36">
        <v>7</v>
      </c>
      <c r="B84" s="37"/>
      <c r="C84" s="441"/>
      <c r="D84" s="586"/>
      <c r="E84" s="441"/>
      <c r="F84" s="443">
        <f t="shared" si="4"/>
        <v>0</v>
      </c>
    </row>
    <row r="85" spans="1:6" ht="12.75">
      <c r="A85" s="36">
        <v>8</v>
      </c>
      <c r="B85" s="37"/>
      <c r="C85" s="441"/>
      <c r="D85" s="586"/>
      <c r="E85" s="441"/>
      <c r="F85" s="443">
        <f t="shared" si="4"/>
        <v>0</v>
      </c>
    </row>
    <row r="86" spans="1:6" ht="12" customHeight="1">
      <c r="A86" s="36">
        <v>9</v>
      </c>
      <c r="B86" s="37"/>
      <c r="C86" s="441"/>
      <c r="D86" s="586"/>
      <c r="E86" s="441"/>
      <c r="F86" s="443">
        <f t="shared" si="4"/>
        <v>0</v>
      </c>
    </row>
    <row r="87" spans="1:6" ht="12.75">
      <c r="A87" s="36">
        <v>10</v>
      </c>
      <c r="B87" s="37"/>
      <c r="C87" s="441"/>
      <c r="D87" s="586"/>
      <c r="E87" s="441"/>
      <c r="F87" s="443">
        <f t="shared" si="4"/>
        <v>0</v>
      </c>
    </row>
    <row r="88" spans="1:6" ht="12.75">
      <c r="A88" s="36">
        <v>11</v>
      </c>
      <c r="B88" s="37"/>
      <c r="C88" s="441"/>
      <c r="D88" s="586"/>
      <c r="E88" s="441"/>
      <c r="F88" s="443">
        <f t="shared" si="4"/>
        <v>0</v>
      </c>
    </row>
    <row r="89" spans="1:6" ht="12.75">
      <c r="A89" s="36">
        <v>12</v>
      </c>
      <c r="B89" s="37"/>
      <c r="C89" s="441"/>
      <c r="D89" s="586"/>
      <c r="E89" s="441"/>
      <c r="F89" s="443">
        <f t="shared" si="4"/>
        <v>0</v>
      </c>
    </row>
    <row r="90" spans="1:6" ht="12.75">
      <c r="A90" s="36">
        <v>13</v>
      </c>
      <c r="B90" s="37"/>
      <c r="C90" s="441"/>
      <c r="D90" s="586"/>
      <c r="E90" s="441"/>
      <c r="F90" s="443">
        <f t="shared" si="4"/>
        <v>0</v>
      </c>
    </row>
    <row r="91" spans="1:6" ht="12" customHeight="1">
      <c r="A91" s="36">
        <v>14</v>
      </c>
      <c r="B91" s="37"/>
      <c r="C91" s="441"/>
      <c r="D91" s="586"/>
      <c r="E91" s="441"/>
      <c r="F91" s="443">
        <f t="shared" si="4"/>
        <v>0</v>
      </c>
    </row>
    <row r="92" spans="1:6" ht="12.75">
      <c r="A92" s="36">
        <v>15</v>
      </c>
      <c r="B92" s="37"/>
      <c r="C92" s="441"/>
      <c r="D92" s="586"/>
      <c r="E92" s="441"/>
      <c r="F92" s="443">
        <f t="shared" si="4"/>
        <v>0</v>
      </c>
    </row>
    <row r="93" spans="1:16" ht="15" customHeight="1">
      <c r="A93" s="38" t="s">
        <v>565</v>
      </c>
      <c r="B93" s="39" t="s">
        <v>842</v>
      </c>
      <c r="C93" s="429">
        <f>SUM(C78:C92)</f>
        <v>0</v>
      </c>
      <c r="D93" s="585"/>
      <c r="E93" s="429">
        <f>SUM(E78:E92)</f>
        <v>0</v>
      </c>
      <c r="F93" s="442">
        <f>SUM(F78:F92)</f>
        <v>0</v>
      </c>
      <c r="G93" s="515"/>
      <c r="H93" s="515"/>
      <c r="I93" s="515"/>
      <c r="J93" s="515"/>
      <c r="K93" s="515"/>
      <c r="L93" s="515"/>
      <c r="M93" s="515"/>
      <c r="N93" s="515"/>
      <c r="O93" s="515"/>
      <c r="P93" s="515"/>
    </row>
    <row r="94" spans="1:6" ht="15.75" customHeight="1">
      <c r="A94" s="36" t="s">
        <v>832</v>
      </c>
      <c r="B94" s="40"/>
      <c r="C94" s="429"/>
      <c r="D94" s="585"/>
      <c r="E94" s="429"/>
      <c r="F94" s="442"/>
    </row>
    <row r="95" spans="1:6" ht="12.75">
      <c r="A95" s="36" t="s">
        <v>544</v>
      </c>
      <c r="B95" s="40"/>
      <c r="C95" s="441"/>
      <c r="D95" s="586"/>
      <c r="E95" s="441"/>
      <c r="F95" s="443">
        <f>C95-E95</f>
        <v>0</v>
      </c>
    </row>
    <row r="96" spans="1:6" ht="12.75">
      <c r="A96" s="36" t="s">
        <v>547</v>
      </c>
      <c r="B96" s="40"/>
      <c r="C96" s="441"/>
      <c r="D96" s="586"/>
      <c r="E96" s="441"/>
      <c r="F96" s="443">
        <f aca="true" t="shared" si="5" ref="F96:F109">C96-E96</f>
        <v>0</v>
      </c>
    </row>
    <row r="97" spans="1:6" ht="12.75">
      <c r="A97" s="36" t="s">
        <v>550</v>
      </c>
      <c r="B97" s="40"/>
      <c r="C97" s="441"/>
      <c r="D97" s="586"/>
      <c r="E97" s="441"/>
      <c r="F97" s="443">
        <f t="shared" si="5"/>
        <v>0</v>
      </c>
    </row>
    <row r="98" spans="1:6" ht="12.75">
      <c r="A98" s="36" t="s">
        <v>553</v>
      </c>
      <c r="B98" s="40"/>
      <c r="C98" s="441"/>
      <c r="D98" s="586"/>
      <c r="E98" s="441"/>
      <c r="F98" s="443">
        <f t="shared" si="5"/>
        <v>0</v>
      </c>
    </row>
    <row r="99" spans="1:6" ht="12.75">
      <c r="A99" s="36">
        <v>5</v>
      </c>
      <c r="B99" s="37"/>
      <c r="C99" s="441"/>
      <c r="D99" s="586"/>
      <c r="E99" s="441"/>
      <c r="F99" s="443">
        <f t="shared" si="5"/>
        <v>0</v>
      </c>
    </row>
    <row r="100" spans="1:6" ht="12.75">
      <c r="A100" s="36">
        <v>6</v>
      </c>
      <c r="B100" s="37"/>
      <c r="C100" s="441"/>
      <c r="D100" s="586"/>
      <c r="E100" s="441"/>
      <c r="F100" s="443">
        <f t="shared" si="5"/>
        <v>0</v>
      </c>
    </row>
    <row r="101" spans="1:6" ht="12.75">
      <c r="A101" s="36">
        <v>7</v>
      </c>
      <c r="B101" s="37"/>
      <c r="C101" s="441"/>
      <c r="D101" s="586"/>
      <c r="E101" s="441"/>
      <c r="F101" s="443">
        <f t="shared" si="5"/>
        <v>0</v>
      </c>
    </row>
    <row r="102" spans="1:6" ht="12.75">
      <c r="A102" s="36">
        <v>8</v>
      </c>
      <c r="B102" s="37"/>
      <c r="C102" s="441"/>
      <c r="D102" s="586"/>
      <c r="E102" s="441"/>
      <c r="F102" s="443">
        <f t="shared" si="5"/>
        <v>0</v>
      </c>
    </row>
    <row r="103" spans="1:6" ht="12" customHeight="1">
      <c r="A103" s="36">
        <v>9</v>
      </c>
      <c r="B103" s="37"/>
      <c r="C103" s="441"/>
      <c r="D103" s="586"/>
      <c r="E103" s="441"/>
      <c r="F103" s="443">
        <f t="shared" si="5"/>
        <v>0</v>
      </c>
    </row>
    <row r="104" spans="1:6" ht="12.75">
      <c r="A104" s="36">
        <v>10</v>
      </c>
      <c r="B104" s="37"/>
      <c r="C104" s="441"/>
      <c r="D104" s="586"/>
      <c r="E104" s="441"/>
      <c r="F104" s="443">
        <f t="shared" si="5"/>
        <v>0</v>
      </c>
    </row>
    <row r="105" spans="1:6" ht="12.75">
      <c r="A105" s="36">
        <v>11</v>
      </c>
      <c r="B105" s="37"/>
      <c r="C105" s="441"/>
      <c r="D105" s="586"/>
      <c r="E105" s="441"/>
      <c r="F105" s="443">
        <f t="shared" si="5"/>
        <v>0</v>
      </c>
    </row>
    <row r="106" spans="1:6" ht="12.75">
      <c r="A106" s="36">
        <v>12</v>
      </c>
      <c r="B106" s="37"/>
      <c r="C106" s="441"/>
      <c r="D106" s="586"/>
      <c r="E106" s="441"/>
      <c r="F106" s="443">
        <f t="shared" si="5"/>
        <v>0</v>
      </c>
    </row>
    <row r="107" spans="1:6" ht="12.75">
      <c r="A107" s="36">
        <v>13</v>
      </c>
      <c r="B107" s="37"/>
      <c r="C107" s="441"/>
      <c r="D107" s="586"/>
      <c r="E107" s="441"/>
      <c r="F107" s="443">
        <f t="shared" si="5"/>
        <v>0</v>
      </c>
    </row>
    <row r="108" spans="1:6" ht="12" customHeight="1">
      <c r="A108" s="36">
        <v>14</v>
      </c>
      <c r="B108" s="37"/>
      <c r="C108" s="441"/>
      <c r="D108" s="586"/>
      <c r="E108" s="441"/>
      <c r="F108" s="443">
        <f t="shared" si="5"/>
        <v>0</v>
      </c>
    </row>
    <row r="109" spans="1:6" ht="12.75">
      <c r="A109" s="36">
        <v>15</v>
      </c>
      <c r="B109" s="37"/>
      <c r="C109" s="441"/>
      <c r="D109" s="586"/>
      <c r="E109" s="441"/>
      <c r="F109" s="443">
        <f t="shared" si="5"/>
        <v>0</v>
      </c>
    </row>
    <row r="110" spans="1:16" ht="11.25" customHeight="1">
      <c r="A110" s="38" t="s">
        <v>582</v>
      </c>
      <c r="B110" s="39" t="s">
        <v>843</v>
      </c>
      <c r="C110" s="429">
        <f>SUM(C95:C109)</f>
        <v>0</v>
      </c>
      <c r="D110" s="585"/>
      <c r="E110" s="429">
        <f>SUM(E95:E109)</f>
        <v>0</v>
      </c>
      <c r="F110" s="442">
        <f>SUM(F95:F109)</f>
        <v>0</v>
      </c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</row>
    <row r="111" spans="1:6" ht="15" customHeight="1">
      <c r="A111" s="36" t="s">
        <v>834</v>
      </c>
      <c r="B111" s="40"/>
      <c r="C111" s="429"/>
      <c r="D111" s="585"/>
      <c r="E111" s="429"/>
      <c r="F111" s="442"/>
    </row>
    <row r="112" spans="1:6" ht="12.75">
      <c r="A112" s="36" t="s">
        <v>544</v>
      </c>
      <c r="B112" s="40"/>
      <c r="C112" s="441"/>
      <c r="D112" s="586"/>
      <c r="E112" s="441"/>
      <c r="F112" s="443">
        <f>C112-E112</f>
        <v>0</v>
      </c>
    </row>
    <row r="113" spans="1:6" ht="12.75">
      <c r="A113" s="36" t="s">
        <v>547</v>
      </c>
      <c r="B113" s="40"/>
      <c r="C113" s="441"/>
      <c r="D113" s="586"/>
      <c r="E113" s="441"/>
      <c r="F113" s="443">
        <f aca="true" t="shared" si="6" ref="F113:F126">C113-E113</f>
        <v>0</v>
      </c>
    </row>
    <row r="114" spans="1:6" ht="12.75">
      <c r="A114" s="36" t="s">
        <v>550</v>
      </c>
      <c r="B114" s="40"/>
      <c r="C114" s="441"/>
      <c r="D114" s="586"/>
      <c r="E114" s="441"/>
      <c r="F114" s="443">
        <f t="shared" si="6"/>
        <v>0</v>
      </c>
    </row>
    <row r="115" spans="1:6" ht="12.75">
      <c r="A115" s="36" t="s">
        <v>553</v>
      </c>
      <c r="B115" s="40"/>
      <c r="C115" s="441"/>
      <c r="D115" s="586"/>
      <c r="E115" s="441"/>
      <c r="F115" s="443">
        <f t="shared" si="6"/>
        <v>0</v>
      </c>
    </row>
    <row r="116" spans="1:6" ht="12.75">
      <c r="A116" s="36">
        <v>5</v>
      </c>
      <c r="B116" s="37"/>
      <c r="C116" s="441"/>
      <c r="D116" s="586"/>
      <c r="E116" s="441"/>
      <c r="F116" s="443">
        <f t="shared" si="6"/>
        <v>0</v>
      </c>
    </row>
    <row r="117" spans="1:6" ht="12.75">
      <c r="A117" s="36">
        <v>6</v>
      </c>
      <c r="B117" s="37"/>
      <c r="C117" s="441"/>
      <c r="D117" s="586"/>
      <c r="E117" s="441"/>
      <c r="F117" s="443">
        <f t="shared" si="6"/>
        <v>0</v>
      </c>
    </row>
    <row r="118" spans="1:6" ht="12.75">
      <c r="A118" s="36">
        <v>7</v>
      </c>
      <c r="B118" s="37"/>
      <c r="C118" s="441"/>
      <c r="D118" s="586"/>
      <c r="E118" s="441"/>
      <c r="F118" s="443">
        <f t="shared" si="6"/>
        <v>0</v>
      </c>
    </row>
    <row r="119" spans="1:6" ht="12.75">
      <c r="A119" s="36">
        <v>8</v>
      </c>
      <c r="B119" s="37"/>
      <c r="C119" s="441"/>
      <c r="D119" s="586"/>
      <c r="E119" s="441"/>
      <c r="F119" s="443">
        <f t="shared" si="6"/>
        <v>0</v>
      </c>
    </row>
    <row r="120" spans="1:6" ht="12" customHeight="1">
      <c r="A120" s="36">
        <v>9</v>
      </c>
      <c r="B120" s="37"/>
      <c r="C120" s="441"/>
      <c r="D120" s="586"/>
      <c r="E120" s="441"/>
      <c r="F120" s="443">
        <f t="shared" si="6"/>
        <v>0</v>
      </c>
    </row>
    <row r="121" spans="1:6" ht="12.75">
      <c r="A121" s="36">
        <v>10</v>
      </c>
      <c r="B121" s="37"/>
      <c r="C121" s="441"/>
      <c r="D121" s="586"/>
      <c r="E121" s="441"/>
      <c r="F121" s="443">
        <f t="shared" si="6"/>
        <v>0</v>
      </c>
    </row>
    <row r="122" spans="1:6" ht="12.75">
      <c r="A122" s="36">
        <v>11</v>
      </c>
      <c r="B122" s="37"/>
      <c r="C122" s="441"/>
      <c r="D122" s="586"/>
      <c r="E122" s="441"/>
      <c r="F122" s="443">
        <f t="shared" si="6"/>
        <v>0</v>
      </c>
    </row>
    <row r="123" spans="1:6" ht="12.75">
      <c r="A123" s="36">
        <v>12</v>
      </c>
      <c r="B123" s="37"/>
      <c r="C123" s="441"/>
      <c r="D123" s="586"/>
      <c r="E123" s="441"/>
      <c r="F123" s="443">
        <f t="shared" si="6"/>
        <v>0</v>
      </c>
    </row>
    <row r="124" spans="1:6" ht="12.75">
      <c r="A124" s="36">
        <v>13</v>
      </c>
      <c r="B124" s="37"/>
      <c r="C124" s="441"/>
      <c r="D124" s="586"/>
      <c r="E124" s="441"/>
      <c r="F124" s="443">
        <f t="shared" si="6"/>
        <v>0</v>
      </c>
    </row>
    <row r="125" spans="1:6" ht="12" customHeight="1">
      <c r="A125" s="36">
        <v>14</v>
      </c>
      <c r="B125" s="37"/>
      <c r="C125" s="441"/>
      <c r="D125" s="586"/>
      <c r="E125" s="441"/>
      <c r="F125" s="443">
        <f t="shared" si="6"/>
        <v>0</v>
      </c>
    </row>
    <row r="126" spans="1:6" ht="12.75">
      <c r="A126" s="36">
        <v>15</v>
      </c>
      <c r="B126" s="37"/>
      <c r="C126" s="441"/>
      <c r="D126" s="586"/>
      <c r="E126" s="441"/>
      <c r="F126" s="443">
        <f t="shared" si="6"/>
        <v>0</v>
      </c>
    </row>
    <row r="127" spans="1:16" ht="15.75" customHeight="1">
      <c r="A127" s="38" t="s">
        <v>601</v>
      </c>
      <c r="B127" s="39" t="s">
        <v>844</v>
      </c>
      <c r="C127" s="429">
        <f>SUM(C112:C126)</f>
        <v>0</v>
      </c>
      <c r="D127" s="585"/>
      <c r="E127" s="429">
        <f>SUM(E112:E126)</f>
        <v>0</v>
      </c>
      <c r="F127" s="442">
        <f>SUM(F112:F126)</f>
        <v>0</v>
      </c>
      <c r="G127" s="515"/>
      <c r="H127" s="515"/>
      <c r="I127" s="515"/>
      <c r="J127" s="515"/>
      <c r="K127" s="515"/>
      <c r="L127" s="515"/>
      <c r="M127" s="515"/>
      <c r="N127" s="515"/>
      <c r="O127" s="515"/>
      <c r="P127" s="515"/>
    </row>
    <row r="128" spans="1:6" ht="12.75" customHeight="1">
      <c r="A128" s="36" t="s">
        <v>836</v>
      </c>
      <c r="B128" s="40"/>
      <c r="C128" s="429"/>
      <c r="D128" s="585"/>
      <c r="E128" s="429"/>
      <c r="F128" s="442"/>
    </row>
    <row r="129" spans="1:6" ht="12.75">
      <c r="A129" s="36"/>
      <c r="B129" s="40"/>
      <c r="C129" s="441"/>
      <c r="D129" s="586"/>
      <c r="E129" s="441"/>
      <c r="F129" s="443">
        <f>C129-E129</f>
        <v>0</v>
      </c>
    </row>
    <row r="130" spans="1:6" ht="12.75">
      <c r="A130" s="36"/>
      <c r="B130" s="40"/>
      <c r="C130" s="441"/>
      <c r="D130" s="586"/>
      <c r="E130" s="441"/>
      <c r="F130" s="443">
        <f aca="true" t="shared" si="7" ref="F130:F143">C130-E130</f>
        <v>0</v>
      </c>
    </row>
    <row r="131" spans="1:6" ht="12.75">
      <c r="A131" s="36"/>
      <c r="B131" s="40"/>
      <c r="C131" s="441"/>
      <c r="D131" s="586"/>
      <c r="E131" s="441"/>
      <c r="F131" s="443">
        <f t="shared" si="7"/>
        <v>0</v>
      </c>
    </row>
    <row r="132" spans="1:6" ht="12.75">
      <c r="A132" s="36"/>
      <c r="B132" s="40"/>
      <c r="C132" s="441"/>
      <c r="D132" s="586"/>
      <c r="E132" s="441"/>
      <c r="F132" s="443">
        <f t="shared" si="7"/>
        <v>0</v>
      </c>
    </row>
    <row r="133" spans="1:6" ht="12.75">
      <c r="A133" s="36"/>
      <c r="B133" s="37"/>
      <c r="C133" s="441"/>
      <c r="D133" s="586"/>
      <c r="E133" s="441"/>
      <c r="F133" s="443">
        <f t="shared" si="7"/>
        <v>0</v>
      </c>
    </row>
    <row r="134" spans="1:6" ht="12.75">
      <c r="A134" s="36"/>
      <c r="B134" s="37"/>
      <c r="C134" s="441"/>
      <c r="D134" s="586"/>
      <c r="E134" s="441"/>
      <c r="F134" s="443">
        <f t="shared" si="7"/>
        <v>0</v>
      </c>
    </row>
    <row r="135" spans="1:6" ht="12.75">
      <c r="A135" s="36"/>
      <c r="B135" s="37"/>
      <c r="C135" s="441"/>
      <c r="D135" s="586"/>
      <c r="E135" s="441"/>
      <c r="F135" s="443">
        <f t="shared" si="7"/>
        <v>0</v>
      </c>
    </row>
    <row r="136" spans="1:6" ht="12.75">
      <c r="A136" s="36"/>
      <c r="B136" s="37"/>
      <c r="C136" s="441"/>
      <c r="D136" s="586"/>
      <c r="E136" s="441"/>
      <c r="F136" s="443">
        <f t="shared" si="7"/>
        <v>0</v>
      </c>
    </row>
    <row r="137" spans="1:6" ht="12" customHeight="1">
      <c r="A137" s="36">
        <v>9</v>
      </c>
      <c r="B137" s="37"/>
      <c r="C137" s="441"/>
      <c r="D137" s="586"/>
      <c r="E137" s="441"/>
      <c r="F137" s="443">
        <f t="shared" si="7"/>
        <v>0</v>
      </c>
    </row>
    <row r="138" spans="1:6" ht="12.75">
      <c r="A138" s="36">
        <v>10</v>
      </c>
      <c r="B138" s="37"/>
      <c r="C138" s="441"/>
      <c r="D138" s="586"/>
      <c r="E138" s="441"/>
      <c r="F138" s="443">
        <f t="shared" si="7"/>
        <v>0</v>
      </c>
    </row>
    <row r="139" spans="1:6" ht="12.75">
      <c r="A139" s="36">
        <v>11</v>
      </c>
      <c r="B139" s="37"/>
      <c r="C139" s="441"/>
      <c r="D139" s="586"/>
      <c r="E139" s="441"/>
      <c r="F139" s="443">
        <f t="shared" si="7"/>
        <v>0</v>
      </c>
    </row>
    <row r="140" spans="1:6" ht="12.75">
      <c r="A140" s="36">
        <v>12</v>
      </c>
      <c r="B140" s="37"/>
      <c r="C140" s="441"/>
      <c r="D140" s="586"/>
      <c r="E140" s="441"/>
      <c r="F140" s="443">
        <f t="shared" si="7"/>
        <v>0</v>
      </c>
    </row>
    <row r="141" spans="1:6" ht="12.75">
      <c r="A141" s="36">
        <v>13</v>
      </c>
      <c r="B141" s="37"/>
      <c r="C141" s="441"/>
      <c r="D141" s="586"/>
      <c r="E141" s="441"/>
      <c r="F141" s="443">
        <f t="shared" si="7"/>
        <v>0</v>
      </c>
    </row>
    <row r="142" spans="1:6" ht="12" customHeight="1">
      <c r="A142" s="36">
        <v>14</v>
      </c>
      <c r="B142" s="37"/>
      <c r="C142" s="441"/>
      <c r="D142" s="586"/>
      <c r="E142" s="441"/>
      <c r="F142" s="443">
        <f t="shared" si="7"/>
        <v>0</v>
      </c>
    </row>
    <row r="143" spans="1:6" ht="12.75">
      <c r="A143" s="36">
        <v>15</v>
      </c>
      <c r="B143" s="37"/>
      <c r="C143" s="441"/>
      <c r="D143" s="586"/>
      <c r="E143" s="441"/>
      <c r="F143" s="443">
        <f t="shared" si="7"/>
        <v>0</v>
      </c>
    </row>
    <row r="144" spans="1:16" ht="17.25" customHeight="1">
      <c r="A144" s="38" t="s">
        <v>837</v>
      </c>
      <c r="B144" s="39" t="s">
        <v>845</v>
      </c>
      <c r="C144" s="429">
        <f>SUM(C129:C143)</f>
        <v>0</v>
      </c>
      <c r="D144" s="585"/>
      <c r="E144" s="429">
        <f>SUM(E129:E143)</f>
        <v>0</v>
      </c>
      <c r="F144" s="442">
        <f>SUM(F129:F143)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16" ht="19.5" customHeight="1">
      <c r="A145" s="41" t="s">
        <v>846</v>
      </c>
      <c r="B145" s="39" t="s">
        <v>847</v>
      </c>
      <c r="C145" s="429">
        <f>C144+C127+C110+C93</f>
        <v>0</v>
      </c>
      <c r="D145" s="585"/>
      <c r="E145" s="429">
        <f>E144+E127+E110+E93</f>
        <v>0</v>
      </c>
      <c r="F145" s="442">
        <f>F144+F127+F110+F93</f>
        <v>0</v>
      </c>
      <c r="G145" s="515"/>
      <c r="H145" s="515"/>
      <c r="I145" s="515"/>
      <c r="J145" s="515"/>
      <c r="K145" s="515"/>
      <c r="L145" s="515"/>
      <c r="M145" s="515"/>
      <c r="N145" s="515"/>
      <c r="O145" s="515"/>
      <c r="P145" s="515"/>
    </row>
    <row r="146" spans="1:6" ht="19.5" customHeight="1">
      <c r="A146" s="42"/>
      <c r="B146" s="43"/>
      <c r="C146" s="44"/>
      <c r="D146" s="587"/>
      <c r="E146" s="44"/>
      <c r="F146" s="44"/>
    </row>
    <row r="147" spans="1:6" ht="12.75">
      <c r="A147" s="452" t="s">
        <v>868</v>
      </c>
      <c r="B147" s="453"/>
      <c r="C147" s="646" t="s">
        <v>848</v>
      </c>
      <c r="D147" s="646"/>
      <c r="E147" s="646"/>
      <c r="F147" s="646"/>
    </row>
    <row r="148" spans="1:6" ht="12.75">
      <c r="A148" s="516"/>
      <c r="B148" s="517"/>
      <c r="C148" s="516"/>
      <c r="D148" s="588"/>
      <c r="E148" s="516"/>
      <c r="F148" s="516"/>
    </row>
    <row r="149" spans="1:6" ht="12.75">
      <c r="A149" s="516"/>
      <c r="B149" s="517"/>
      <c r="C149" s="646" t="s">
        <v>856</v>
      </c>
      <c r="D149" s="646"/>
      <c r="E149" s="646"/>
      <c r="F149" s="646"/>
    </row>
    <row r="150" spans="3:5" ht="12.75">
      <c r="C150" s="516"/>
      <c r="E150" s="516"/>
    </row>
  </sheetData>
  <sheetProtection/>
  <mergeCells count="4">
    <mergeCell ref="B5:D5"/>
    <mergeCell ref="B6:C6"/>
    <mergeCell ref="C149:F149"/>
    <mergeCell ref="C147:F1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9:F143 C25:F39 C42:F56 C59:F73 C78:F92 C95:F109 C112:F126 C1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18 C21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</cp:lastModifiedBy>
  <cp:lastPrinted>2013-04-30T13:47:08Z</cp:lastPrinted>
  <dcterms:created xsi:type="dcterms:W3CDTF">2000-06-29T12:02:40Z</dcterms:created>
  <dcterms:modified xsi:type="dcterms:W3CDTF">2013-04-30T13:59:19Z</dcterms:modified>
  <cp:category/>
  <cp:version/>
  <cp:contentType/>
  <cp:contentStatus/>
</cp:coreProperties>
</file>