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<sst xmlns="http://schemas.openxmlformats.org/spreadsheetml/2006/main" count="1996" uniqueCount="693">
  <si>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</si>
  <si>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</si>
  <si>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</si>
  <si>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</si>
  <si>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</si>
  <si>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</si>
  <si>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</si>
  <si>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</si>
  <si>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</si>
  <si>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</si>
  <si>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</si>
  <si>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</si>
  <si>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</si>
  <si>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</si>
  <si>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</si>
  <si>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</si>
  <si>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</si>
  <si>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</si>
  <si>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</si>
  <si>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</si>
  <si>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</si>
  <si>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</si>
  <si>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</si>
  <si>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</si>
  <si>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</si>
  <si>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</si>
  <si>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</si>
  <si>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</si>
  <si>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</si>
  <si>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</si>
  <si>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</si>
  <si>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</si>
  <si>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</si>
  <si>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</si>
  <si>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</si>
  <si>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</si>
  <si>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</si>
  <si>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</si>
  <si>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</si>
  <si>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</si>
  <si>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</si>
  <si>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</si>
  <si>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</si>
  <si>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</si>
  <si>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</si>
  <si>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</si>
  <si>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</si>
  <si>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</si>
  <si>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</si>
  <si>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</si>
  <si>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</si>
  <si>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</si>
  <si>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</si>
  <si>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</si>
  <si>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</si>
  <si>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</si>
  <si>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</si>
  <si>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</si>
  <si>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</si>
  <si>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</si>
  <si>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</si>
  <si>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</si>
  <si>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</si>
  <si>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</si>
  <si>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</si>
  <si>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</si>
  <si>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</si>
  <si>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</si>
  <si>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</si>
  <si>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</si>
  <si>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</si>
  <si>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</si>
  <si>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</si>
  <si>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</si>
  <si>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</si>
  <si>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</si>
  <si>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</si>
  <si>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</si>
  <si>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</si>
  <si>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</si>
  <si>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</si>
  <si>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</si>
  <si>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</si>
  <si>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</si>
  <si>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</si>
  <si>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</si>
  <si>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</si>
  <si>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</si>
  <si>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</si>
  <si>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</si>
  <si>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</si>
  <si>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</si>
  <si>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</si>
  <si>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</si>
  <si>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</si>
  <si>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</si>
  <si>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</si>
  <si>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</si>
  <si>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</si>
  <si>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</si>
  <si>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</si>
  <si>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</si>
  <si>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</si>
  <si>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</si>
  <si>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</si>
  <si>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</si>
  <si>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</si>
  <si>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</si>
  <si>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</si>
  <si>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</si>
  <si>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</si>
  <si>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</si>
  <si>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</si>
  <si>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</si>
  <si>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</si>
  <si>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</si>
  <si>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</si>
  <si>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</si>
  <si>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</si>
  <si>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</si>
  <si>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</si>
  <si>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</si>
  <si>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</si>
  <si>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</si>
  <si>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</si>
  <si>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</si>
  <si>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</si>
  <si>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</si>
  <si>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</si>
  <si>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</si>
  <si>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</si>
  <si>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</si>
  <si>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</si>
  <si>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</si>
  <si>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</si>
  <si>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</si>
  <si>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</si>
  <si>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</si>
  <si>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</si>
  <si>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</si>
  <si>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</si>
  <si>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</si>
  <si>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</si>
  <si>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</si>
  <si>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</si>
  <si>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</si>
  <si>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</si>
  <si>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</si>
  <si>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</si>
  <si>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</si>
  <si>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</si>
  <si>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</si>
  <si>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</si>
  <si>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</si>
  <si>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</si>
  <si>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</si>
  <si>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</si>
  <si>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</si>
  <si>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</si>
  <si>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</si>
  <si>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</si>
  <si>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</si>
  <si>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</si>
  <si>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</si>
  <si>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</si>
  <si>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</si>
  <si>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</si>
  <si>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</si>
  <si>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</si>
  <si>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</si>
  <si>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</si>
  <si>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</si>
  <si>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</si>
  <si>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</si>
  <si>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</si>
  <si>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</si>
  <si>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</si>
  <si>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</si>
  <si>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</si>
  <si>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</si>
  <si>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</si>
  <si>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</si>
  <si>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</si>
  <si>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</si>
  <si>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</si>
  <si>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</si>
  <si>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</si>
  <si>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</si>
  <si>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</si>
  <si>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</si>
  <si>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</si>
  <si>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</si>
  <si>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</si>
  <si>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</si>
  <si>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</si>
  <si>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</si>
  <si>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</si>
  <si>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</si>
  <si>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</si>
  <si>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</si>
  <si>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</si>
  <si>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</si>
  <si>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</si>
  <si>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</si>
  <si>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</si>
  <si>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</si>
  <si>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</si>
  <si>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</si>
  <si>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</si>
  <si>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</si>
  <si>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</si>
  <si>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</si>
  <si>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</si>
  <si>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</si>
  <si>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</si>
  <si>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</si>
  <si>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</si>
  <si>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</si>
  <si>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</si>
  <si>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</si>
  <si>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</si>
  <si>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</si>
  <si>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</si>
  <si>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</si>
  <si>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</si>
  <si>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</si>
  <si>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</si>
  <si>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</si>
  <si>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</si>
  <si>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</si>
  <si>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</si>
  <si>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</si>
  <si>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</si>
  <si>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</si>
  <si>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</si>
  <si>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</si>
  <si>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</si>
  <si>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</si>
  <si>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</si>
  <si>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</si>
  <si>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</si>
  <si>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</si>
  <si>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</si>
  <si>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</si>
  <si>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</si>
  <si>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</si>
  <si>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</si>
  <si>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</si>
  <si>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</si>
  <si>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</si>
  <si>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</si>
  <si>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</si>
  <si>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</si>
  <si>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</si>
  <si>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</si>
  <si>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</si>
  <si>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</si>
  <si>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</si>
  <si>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</si>
  <si>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</si>
  <si>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</si>
  <si>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</si>
  <si>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</si>
  <si>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</si>
  <si>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</si>
  <si>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</si>
  <si>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</si>
  <si>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</si>
  <si>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</si>
  <si>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</si>
  <si>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</si>
  <si>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</si>
  <si>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</si>
  <si>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</si>
  <si>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</si>
  <si>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</si>
  <si>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</si>
  <si>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</si>
  <si>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</si>
  <si>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</si>
  <si>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</si>
  <si>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</si>
  <si>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</si>
  <si>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</si>
  <si>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</si>
  <si>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</si>
  <si>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</si>
  <si>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</si>
  <si>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</si>
  <si>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</si>
  <si>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</si>
  <si>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</si>
  <si>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</si>
  <si>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</si>
  <si>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</si>
  <si>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</si>
  <si>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</si>
  <si>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</si>
  <si>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</si>
  <si>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</si>
  <si>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</si>
  <si>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</si>
  <si>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</si>
  <si>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</si>
  <si>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</si>
  <si>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</si>
  <si>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</si>
  <si>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</si>
  <si>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</si>
  <si>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</si>
  <si>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</si>
  <si>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</si>
  <si>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</si>
  <si>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</si>
  <si>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</si>
  <si>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</si>
  <si>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</si>
  <si>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</si>
  <si>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</si>
  <si>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</si>
  <si>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</si>
  <si>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</si>
  <si>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</si>
  <si>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</si>
  <si>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</si>
  <si>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</si>
  <si>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</si>
  <si>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</si>
  <si>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</si>
  <si>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</si>
  <si>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</si>
  <si>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</si>
  <si>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</si>
  <si>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</si>
  <si>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</si>
  <si>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</si>
  <si>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</si>
  <si>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</si>
  <si>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</si>
  <si>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</si>
  <si>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</si>
  <si>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</si>
  <si>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</si>
  <si>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</si>
  <si>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</si>
  <si>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</si>
  <si>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</si>
  <si>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</si>
  <si>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</si>
  <si>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</si>
  <si>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</si>
  <si>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</si>
  <si>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</si>
  <si>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</si>
  <si>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</si>
  <si>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</si>
  <si>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</si>
  <si>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</si>
  <si>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</si>
  <si>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</si>
  <si>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</si>
  <si>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</si>
  <si>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</si>
  <si>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</si>
  <si>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</si>
  <si>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</si>
  <si>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</si>
  <si>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</si>
  <si>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</si>
  <si>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</si>
  <si>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</si>
  <si>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</si>
  <si>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</si>
  <si>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</si>
  <si>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</si>
  <si>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</si>
  <si>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</si>
  <si>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</si>
  <si>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</si>
  <si>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</si>
  <si>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</si>
  <si>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</si>
  <si>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</si>
  <si>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</si>
  <si>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</si>
  <si>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</si>
  <si>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</si>
  <si>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</si>
  <si>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</si>
  <si>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</si>
  <si>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</si>
  <si>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</si>
  <si>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</si>
  <si>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</si>
  <si>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</si>
  <si>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</si>
  <si>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</si>
  <si>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</si>
  <si>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</si>
  <si>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</si>
  <si>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</si>
  <si>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</si>
  <si>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</si>
  <si>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</si>
  <si>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</si>
  <si>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</si>
  <si>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</si>
  <si>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</si>
  <si>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</si>
  <si>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</si>
  <si>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</si>
  <si>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</si>
  <si>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</si>
  <si>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</si>
  <si>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</si>
  <si>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</si>
  <si>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</si>
  <si>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</si>
  <si>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</si>
  <si>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</si>
  <si>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</si>
  <si>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</si>
  <si>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</si>
  <si>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</si>
  <si>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</si>
  <si>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</si>
  <si>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</si>
  <si>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</si>
  <si>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</si>
  <si>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</si>
  <si>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</si>
  <si>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</si>
  <si>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</si>
  <si>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</si>
  <si>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</si>
  <si>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</si>
  <si>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</si>
  <si>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</si>
  <si>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</si>
  <si>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</si>
  <si>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</si>
  <si>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</si>
  <si>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</si>
  <si>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</si>
  <si>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</si>
  <si>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</si>
  <si>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</si>
  <si>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</si>
  <si>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</si>
  <si>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</si>
  <si>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</si>
  <si>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</si>
  <si>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</si>
  <si>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</si>
  <si>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</si>
  <si>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</si>
  <si>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</si>
  <si>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</si>
  <si>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</si>
  <si>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</si>
  <si>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</si>
  <si>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</si>
  <si>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</si>
  <si>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</si>
  <si>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</si>
  <si>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</si>
  <si>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</si>
  <si>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</si>
  <si>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</si>
  <si>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</si>
  <si>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</si>
  <si>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</si>
  <si>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</si>
  <si>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</si>
  <si>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</si>
  <si>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</si>
  <si>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</si>
  <si>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</si>
  <si>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</si>
  <si>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</si>
  <si>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</si>
  <si>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</si>
  <si>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</si>
  <si>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</si>
  <si>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</si>
  <si>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</si>
  <si>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</si>
  <si>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</si>
  <si>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</si>
  <si>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</si>
  <si>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</si>
  <si>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</si>
  <si>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</si>
  <si>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</si>
  <si>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</si>
  <si>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</si>
  <si>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</si>
  <si>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</si>
  <si>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</si>
  <si>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</si>
  <si>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</si>
  <si>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</si>
  <si>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</si>
  <si>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</si>
  <si>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</si>
  <si>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</si>
  <si>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</si>
  <si>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</si>
  <si>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</si>
  <si>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</si>
  <si>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</si>
  <si>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</si>
  <si>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</si>
  <si>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</si>
  <si>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</si>
  <si>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</si>
  <si>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</si>
  <si>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</si>
  <si>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</si>
  <si>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</si>
  <si>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</si>
  <si>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</si>
  <si>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</si>
  <si>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</si>
  <si>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</si>
  <si>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</si>
  <si>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</si>
  <si>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</si>
  <si>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</si>
  <si>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</si>
  <si>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</si>
  <si>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</si>
  <si>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</si>
  <si>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</si>
  <si>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</si>
  <si>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</si>
  <si>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</si>
  <si>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</si>
  <si>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</si>
  <si>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</si>
  <si>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</si>
  <si>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</si>
  <si>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</si>
  <si>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</si>
  <si>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</si>
  <si>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</si>
  <si>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</si>
  <si>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</si>
  <si>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</si>
  <si>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</si>
  <si>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</si>
  <si>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</si>
  <si>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</si>
  <si>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</si>
  <si>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</si>
  <si>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</si>
  <si>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</si>
  <si>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</si>
  <si>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</si>
  <si>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</si>
  <si>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</si>
  <si>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</si>
  <si>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</si>
  <si>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</si>
  <si>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</si>
  <si>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</si>
  <si>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</si>
  <si>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</si>
  <si>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</si>
  <si>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</si>
  <si>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</si>
  <si>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</si>
  <si>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</si>
  <si>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</si>
  <si>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</si>
  <si>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</si>
  <si>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</si>
  <si>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</si>
  <si>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</si>
  <si>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</si>
  <si>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</si>
  <si>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</si>
  <si>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</si>
  <si>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</si>
  <si>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</si>
  <si>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</si>
  <si>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</si>
  <si>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</si>
  <si>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</si>
  <si>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</si>
  <si>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</si>
  <si>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</si>
  <si>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</si>
  <si>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</si>
  <si>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</si>
  <si>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</si>
  <si>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</si>
  <si>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</si>
  <si>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</si>
  <si>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</si>
  <si>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</si>
  <si>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</si>
  <si>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</si>
  <si>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</si>
  <si>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</si>
  <si>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</si>
  <si>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</si>
  <si>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</si>
  <si>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</si>
  <si>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</si>
  <si>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</si>
  <si>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</si>
  <si>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</si>
  <si>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</si>
  <si>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</si>
  <si>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</si>
  <si>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</si>
  <si>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</si>
  <si>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</si>
  <si>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</si>
  <si>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</si>
  <si>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</si>
  <si>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</si>
  <si>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</si>
  <si>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</si>
  <si>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</si>
  <si>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</si>
  <si>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</si>
  <si>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</si>
  <si>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</si>
  <si>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</si>
  <si>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</si>
  <si>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</si>
  <si>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</si>
  <si>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</si>
  <si>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</si>
  <si>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</si>
  <si>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</si>
  <si>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</si>
  <si>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</si>
  <si>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</si>
  <si>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</si>
  <si>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</si>
  <si>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</si>
  <si>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</si>
  <si>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</si>
  <si>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</si>
  <si>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</si>
  <si>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</si>
  <si>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</si>
  <si>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</si>
  <si>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</si>
  <si>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</si>
  <si>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</si>
  <si>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</si>
  <si>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</si>
  <si>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</si>
  <si>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</si>
  <si>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</si>
  <si>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</si>
  <si>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</si>
  <si>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</si>
  <si>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</si>
  <si>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</si>
  <si>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</si>
  <si>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</si>
  <si>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</si>
  <si>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</si>
  <si>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</si>
  <si>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</si>
  <si>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</si>
  <si>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</si>
  <si>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</si>
  <si>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</si>
  <si>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</si>
  <si>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</si>
  <si>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</si>
  <si>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</si>
  <si>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</si>
  <si>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</si>
  <si>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</si>
  <si>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</si>
  <si>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</si>
  <si>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</si>
  <si>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</si>
  <si>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</si>
  <si>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</si>
  <si>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</si>
  <si>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</si>
  <si>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</si>
  <si>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</si>
  <si>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</si>
  <si>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Главен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</si>
</sst>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43481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43481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481</v>
      </c>
      <c r="D13" s="137">
        <v>513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1075</v>
      </c>
      <c r="D14" s="137">
        <v>1331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218</v>
      </c>
      <c r="D15" s="137">
        <v>240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59</v>
      </c>
      <c r="D16" s="137">
        <v>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16</v>
      </c>
      <c r="D19" s="137">
        <v>22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1947</v>
      </c>
      <c r="D20" s="377">
        <f>SUM(D12:D19)</f>
        <v>2259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314</v>
      </c>
      <c r="H28" s="375">
        <f>SUM(H29:H31)</f>
        <v>506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314</v>
      </c>
      <c r="H29" s="137">
        <v>506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1088</v>
      </c>
      <c r="H32" s="137">
        <v>928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1402</v>
      </c>
      <c r="H34" s="377">
        <f>H28+H32+H33</f>
        <v>1434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5299</v>
      </c>
      <c r="H37" s="379">
        <f>H26+H18+H34</f>
        <v>5331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1947</v>
      </c>
      <c r="D56" s="381">
        <f>D20+D21+D22+D28+D33+D46+D52+D54+D55</f>
        <v>2259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838</v>
      </c>
      <c r="D59" s="137">
        <v>787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281</v>
      </c>
      <c r="D60" s="137">
        <v>361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166</v>
      </c>
      <c r="H61" s="375">
        <f>SUM(H62:H68)</f>
        <v>193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28</v>
      </c>
      <c r="H62" s="137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29</v>
      </c>
      <c r="H64" s="137">
        <v>92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1119</v>
      </c>
      <c r="D65" s="377">
        <f>SUM(D59:D64)</f>
        <v>1148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</v>
      </c>
      <c r="H67" s="137">
        <v>22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81</v>
      </c>
      <c r="H68" s="137">
        <v>55</v>
      </c>
    </row>
    <row r="69" spans="1:8" ht="15.75">
      <c r="A69" s="76" t="s">
        <v>210</v>
      </c>
      <c r="B69" s="78" t="s">
        <v>211</v>
      </c>
      <c r="C69" s="138">
        <v>563</v>
      </c>
      <c r="D69" s="137">
        <v>471</v>
      </c>
      <c r="E69" s="142" t="s">
        <v>79</v>
      </c>
      <c r="F69" s="80" t="s">
        <v>216</v>
      </c>
      <c r="G69" s="138">
        <v>22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188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563</v>
      </c>
      <c r="D76" s="377">
        <f>SUM(D68:D75)</f>
        <v>471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188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1844</v>
      </c>
      <c r="D89" s="137">
        <v>1653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1848</v>
      </c>
      <c r="D92" s="377">
        <f>SUM(D88:D91)</f>
        <v>1657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10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3540</v>
      </c>
      <c r="D94" s="381">
        <f>D65+D76+D85+D92+D93</f>
        <v>3284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5487</v>
      </c>
      <c r="D95" s="383">
        <f>D94+D56</f>
        <v>5543</v>
      </c>
      <c r="E95" s="169" t="s">
        <v>635</v>
      </c>
      <c r="F95" s="280" t="s">
        <v>268</v>
      </c>
      <c r="G95" s="382">
        <f>G37+G40+G56+G79</f>
        <v>5487</v>
      </c>
      <c r="H95" s="383">
        <f>H37+H40+H56+H79</f>
        <v>5543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43481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Десислава Стойчева Александрова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684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2183</v>
      </c>
      <c r="D12" s="256">
        <v>2291</v>
      </c>
      <c r="E12" s="135" t="s">
        <v>277</v>
      </c>
      <c r="F12" s="180" t="s">
        <v>278</v>
      </c>
      <c r="G12" s="256">
        <v>5046</v>
      </c>
      <c r="H12" s="256">
        <v>4844</v>
      </c>
    </row>
    <row r="13" spans="1:8" ht="15.75">
      <c r="A13" s="135" t="s">
        <v>279</v>
      </c>
      <c r="B13" s="131" t="s">
        <v>280</v>
      </c>
      <c r="C13" s="256">
        <v>268</v>
      </c>
      <c r="D13" s="256">
        <v>226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352</v>
      </c>
      <c r="D14" s="256">
        <v>336</v>
      </c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842</v>
      </c>
      <c r="D15" s="256">
        <v>812</v>
      </c>
      <c r="E15" s="185" t="s">
        <v>79</v>
      </c>
      <c r="F15" s="180" t="s">
        <v>289</v>
      </c>
      <c r="G15" s="256">
        <v>113</v>
      </c>
      <c r="H15" s="256">
        <v>19</v>
      </c>
    </row>
    <row r="16" spans="1:8" ht="15.75">
      <c r="A16" s="135" t="s">
        <v>290</v>
      </c>
      <c r="B16" s="131" t="s">
        <v>291</v>
      </c>
      <c r="C16" s="256">
        <v>165</v>
      </c>
      <c r="D16" s="256">
        <v>153</v>
      </c>
      <c r="E16" s="176" t="s">
        <v>52</v>
      </c>
      <c r="F16" s="204" t="s">
        <v>292</v>
      </c>
      <c r="G16" s="407">
        <f>SUM(G12:G15)</f>
        <v>5159</v>
      </c>
      <c r="H16" s="408">
        <f>SUM(H12:H15)</f>
        <v>4863</v>
      </c>
    </row>
    <row r="17" spans="1:8" ht="31.5">
      <c r="A17" s="135" t="s">
        <v>293</v>
      </c>
      <c r="B17" s="131" t="s">
        <v>294</v>
      </c>
      <c r="C17" s="256">
        <v>24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76</v>
      </c>
      <c r="D18" s="256">
        <v>-45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41</v>
      </c>
      <c r="D19" s="256">
        <v>36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3951</v>
      </c>
      <c r="D22" s="408">
        <f>SUM(D12:D18)+D19</f>
        <v>3809</v>
      </c>
      <c r="E22" s="135" t="s">
        <v>309</v>
      </c>
      <c r="F22" s="177" t="s">
        <v>310</v>
      </c>
      <c r="G22" s="256"/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8</v>
      </c>
      <c r="H25" s="257">
        <v>7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2</v>
      </c>
      <c r="H26" s="257"/>
    </row>
    <row r="27" spans="1:8" ht="31.5">
      <c r="A27" s="135" t="s">
        <v>324</v>
      </c>
      <c r="B27" s="177" t="s">
        <v>325</v>
      </c>
      <c r="C27" s="256">
        <v>7</v>
      </c>
      <c r="D27" s="256">
        <v>25</v>
      </c>
      <c r="E27" s="176" t="s">
        <v>104</v>
      </c>
      <c r="F27" s="178" t="s">
        <v>326</v>
      </c>
      <c r="G27" s="407">
        <f>SUM(G22:G26)</f>
        <v>10</v>
      </c>
      <c r="H27" s="408">
        <f>SUM(H22:H26)</f>
        <v>8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29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3960</v>
      </c>
      <c r="D31" s="414">
        <f>D29+D22</f>
        <v>3838</v>
      </c>
      <c r="E31" s="191" t="s">
        <v>548</v>
      </c>
      <c r="F31" s="206" t="s">
        <v>331</v>
      </c>
      <c r="G31" s="193">
        <f>G16+G18+G27</f>
        <v>5169</v>
      </c>
      <c r="H31" s="194">
        <f>H16+H18+H27</f>
        <v>4871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1209</v>
      </c>
      <c r="D33" s="184">
        <f>IF((H31-D31)&gt;0,H31-D31,0)</f>
        <v>1033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3960</v>
      </c>
      <c r="D36" s="416">
        <f>D31-D34+D35</f>
        <v>3838</v>
      </c>
      <c r="E36" s="202" t="s">
        <v>346</v>
      </c>
      <c r="F36" s="196" t="s">
        <v>347</v>
      </c>
      <c r="G36" s="207">
        <f>G35-G34+G31</f>
        <v>5169</v>
      </c>
      <c r="H36" s="208">
        <f>H35-H34+H31</f>
        <v>4871</v>
      </c>
    </row>
    <row r="37" spans="1:8" ht="15.75">
      <c r="A37" s="201" t="s">
        <v>348</v>
      </c>
      <c r="B37" s="171" t="s">
        <v>349</v>
      </c>
      <c r="C37" s="413">
        <f>IF((G36-C36)&gt;0,G36-C36,0)</f>
        <v>1209</v>
      </c>
      <c r="D37" s="414">
        <f>IF((H36-D36)&gt;0,H36-D36,0)</f>
        <v>1033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121</v>
      </c>
      <c r="D38" s="408">
        <f>D39+D40+D41</f>
        <v>105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121</v>
      </c>
      <c r="D39" s="257">
        <v>105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1088</v>
      </c>
      <c r="D42" s="184">
        <f>+IF((H36-D36-D38)&gt;0,H36-D36-D38,0)</f>
        <v>928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1088</v>
      </c>
      <c r="D44" s="208">
        <f>IF(H42=0,IF(D42-D43&gt;0,D42-D43+H43,0),IF(H42-H43&lt;0,H43-H42+D42,0))</f>
        <v>928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5169</v>
      </c>
      <c r="D45" s="410">
        <f>D36+D38+D42</f>
        <v>4871</v>
      </c>
      <c r="E45" s="210" t="s">
        <v>373</v>
      </c>
      <c r="F45" s="212" t="s">
        <v>374</v>
      </c>
      <c r="G45" s="409">
        <f>G42+G36</f>
        <v>5169</v>
      </c>
      <c r="H45" s="410">
        <f>H42+H36</f>
        <v>4871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43481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Десислава Стойчева Александрова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684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5970</v>
      </c>
      <c r="D11" s="137">
        <v>5845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-2868</v>
      </c>
      <c r="D12" s="137">
        <v>-2426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-928</v>
      </c>
      <c r="D14" s="137">
        <v>-892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-753</v>
      </c>
      <c r="D15" s="137">
        <v>-451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-114</v>
      </c>
      <c r="D16" s="137">
        <v>-116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-20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1304</v>
      </c>
      <c r="D21" s="438">
        <f>SUM(D11:D20)</f>
        <v>1938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-70</v>
      </c>
      <c r="D23" s="137">
        <v>-799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57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-13</v>
      </c>
      <c r="D33" s="438">
        <f>SUM(D23:D32)</f>
        <v>-799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-1100</v>
      </c>
      <c r="D41" s="137">
        <v>-1411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-1100</v>
      </c>
      <c r="D43" s="440">
        <f>SUM(D35:D42)</f>
        <v>-1411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191</v>
      </c>
      <c r="D44" s="247">
        <f>D43+D33+D21</f>
        <v>-272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1657</v>
      </c>
      <c r="D45" s="249">
        <v>1929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1848</v>
      </c>
      <c r="D46" s="251">
        <f>D45+D44</f>
        <v>1657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1848</v>
      </c>
      <c r="D47" s="238">
        <v>1657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43481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Десислава Стойчева Александрова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684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1434</v>
      </c>
      <c r="J13" s="363">
        <f>'1-Баланс'!H30+'1-Баланс'!H33</f>
        <v>0</v>
      </c>
      <c r="K13" s="364"/>
      <c r="L13" s="363">
        <f>SUM(C13:K13)</f>
        <v>5331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1434</v>
      </c>
      <c r="J17" s="432">
        <f t="shared" si="2"/>
        <v>0</v>
      </c>
      <c r="K17" s="432">
        <f t="shared" si="2"/>
        <v>0</v>
      </c>
      <c r="L17" s="363">
        <f t="shared" si="1"/>
        <v>5331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1088</v>
      </c>
      <c r="J18" s="363">
        <f>+'1-Баланс'!G33</f>
        <v>0</v>
      </c>
      <c r="K18" s="364"/>
      <c r="L18" s="363">
        <f t="shared" si="1"/>
        <v>1088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-1120</v>
      </c>
      <c r="J19" s="109">
        <f>J20+J21</f>
        <v>0</v>
      </c>
      <c r="K19" s="109">
        <f t="shared" si="3"/>
        <v>0</v>
      </c>
      <c r="L19" s="363">
        <f t="shared" si="1"/>
        <v>-1120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-1120</v>
      </c>
      <c r="J20" s="256"/>
      <c r="K20" s="256"/>
      <c r="L20" s="363">
        <f>SUM(C20:K20)</f>
        <v>-1120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1402</v>
      </c>
      <c r="J31" s="432">
        <f t="shared" si="6"/>
        <v>0</v>
      </c>
      <c r="K31" s="432">
        <f t="shared" si="6"/>
        <v>0</v>
      </c>
      <c r="L31" s="363">
        <f t="shared" si="1"/>
        <v>5299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1402</v>
      </c>
      <c r="J34" s="366">
        <f t="shared" si="7"/>
        <v>0</v>
      </c>
      <c r="K34" s="366">
        <f t="shared" si="7"/>
        <v>0</v>
      </c>
      <c r="L34" s="430">
        <f t="shared" si="1"/>
        <v>5299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43481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Десислава Стойчева Александрова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684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7">
      <selection activeCell="C170" sqref="C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43481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Десислава Стойчева Александрова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684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5487</v>
      </c>
      <c r="D6" s="454">
        <f aca="true" t="shared" si="0" ref="D6:D15">C6-E6</f>
        <v>0</v>
      </c>
      <c r="E6" s="453">
        <f>'1-Баланс'!G95</f>
        <v>5487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5299</v>
      </c>
      <c r="D7" s="454">
        <f t="shared" si="0"/>
        <v>2099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1088</v>
      </c>
      <c r="D8" s="454">
        <f t="shared" si="0"/>
        <v>0</v>
      </c>
      <c r="E8" s="453">
        <f>ABS('2-Отчет за доходите'!C44)-ABS('2-Отчет за доходите'!G44)</f>
        <v>1088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1657</v>
      </c>
      <c r="D9" s="454">
        <f t="shared" si="0"/>
        <v>0</v>
      </c>
      <c r="E9" s="453">
        <f>'3-Отчет за паричния поток'!C45</f>
        <v>1657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1848</v>
      </c>
      <c r="D10" s="454">
        <f t="shared" si="0"/>
        <v>0</v>
      </c>
      <c r="E10" s="453">
        <f>'3-Отчет за паричния поток'!C46</f>
        <v>1848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5299</v>
      </c>
      <c r="D11" s="454">
        <f t="shared" si="0"/>
        <v>0</v>
      </c>
      <c r="E11" s="453">
        <f>'4-Отчет за собствения капитал'!L34</f>
        <v>5299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0.2108935840279124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0.20532175882241932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5.787234042553192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0.19828685985055586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1.3053030303030304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18.829787234042552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12.824468085106384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9.829787234042554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9.829787234042554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1.682648401826484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0.9402223437215236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0.03547839214946216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0.03426280298888281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1209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0.22815625589733912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0.301992648481331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0.12043561819346572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481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1075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218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59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16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1947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1947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838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281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1119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563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563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1844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1848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3540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5487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314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314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1088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1402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5299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166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29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81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188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188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5487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2183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268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352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842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165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24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76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41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3951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7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3960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1209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3960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1209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121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121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1088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1088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5169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5046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113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5159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2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5169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5169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5169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5970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-2868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-928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-753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-114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1304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-70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57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-13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-1100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-1100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191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1657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1848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1848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1434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1434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1088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-1120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-1120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1402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1402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5331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5331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1088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-1120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-1120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5299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5299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2019-01-25T07:49:43Z</dcterms:modified>
  <cp:category/>
  <cp:version/>
  <cp:contentType/>
  <cp:contentStatus/>
</cp:coreProperties>
</file>