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<sst xmlns="http://schemas.openxmlformats.org/spreadsheetml/2006/main" count="4313" uniqueCount="1002">
  <si>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</si>
  <si>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</si>
  <si>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</si>
  <si>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</si>
  <si>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</si>
  <si>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</si>
  <si>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</si>
  <si>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</si>
  <si>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</si>
  <si>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</si>
  <si>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</si>
  <si>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</si>
  <si>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</si>
  <si>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</si>
  <si>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</si>
  <si>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</si>
  <si>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</si>
  <si>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</si>
  <si>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</si>
  <si>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</si>
  <si>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</si>
  <si>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</si>
  <si>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</si>
  <si>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</si>
  <si>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</si>
  <si>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</si>
  <si>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</si>
  <si>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</si>
  <si>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</si>
  <si>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</si>
  <si>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</si>
  <si>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</si>
  <si>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</si>
  <si>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</si>
  <si>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</si>
  <si>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</si>
  <si>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</si>
  <si>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</si>
  <si>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</si>
  <si>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</si>
  <si>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</si>
  <si>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</si>
  <si>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</si>
  <si>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</si>
  <si>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</si>
  <si>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</si>
  <si>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</si>
  <si>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</si>
  <si>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</si>
  <si>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</si>
  <si>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</si>
  <si>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</si>
  <si>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</si>
  <si>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</si>
  <si>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</si>
  <si>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</si>
  <si>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</si>
  <si>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</si>
  <si>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</si>
  <si>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</si>
  <si>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</si>
  <si>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</si>
  <si>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</si>
  <si>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</si>
  <si>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</si>
  <si>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</si>
  <si>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</si>
  <si>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</si>
  <si>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</si>
  <si>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</si>
  <si>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</si>
  <si>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</si>
  <si>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</si>
  <si>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</si>
  <si>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</si>
  <si>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</si>
  <si>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</si>
  <si>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</si>
  <si>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</si>
  <si>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</si>
  <si>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</si>
  <si>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</si>
  <si>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</si>
  <si>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</si>
  <si>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</si>
  <si>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</si>
  <si>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</si>
  <si>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</si>
  <si>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</si>
  <si>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</si>
  <si>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</si>
  <si>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</si>
  <si>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</si>
  <si>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</si>
  <si>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</si>
  <si>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</si>
  <si>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</si>
  <si>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</si>
  <si>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</si>
  <si>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</si>
  <si>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</si>
  <si>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</si>
  <si>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</si>
  <si>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</si>
  <si>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</si>
  <si>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</si>
  <si>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</si>
  <si>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</si>
  <si>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</si>
  <si>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</si>
  <si>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</si>
  <si>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</si>
  <si>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</si>
  <si>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</si>
  <si>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</si>
  <si>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</si>
  <si>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</si>
  <si>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</si>
  <si>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</si>
  <si>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</si>
  <si>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</si>
  <si>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</si>
  <si>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</si>
  <si>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</si>
  <si>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</si>
  <si>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</si>
  <si>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</si>
  <si>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</si>
  <si>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</si>
  <si>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</si>
  <si>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</si>
  <si>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</si>
  <si>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</si>
  <si>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</si>
  <si>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</si>
  <si>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</si>
  <si>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</si>
  <si>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</si>
  <si>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</si>
  <si>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</si>
  <si>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</si>
  <si>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</si>
  <si>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</si>
  <si>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</si>
  <si>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</si>
  <si>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</si>
  <si>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</si>
  <si>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</si>
  <si>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</si>
  <si>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</si>
  <si>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</si>
  <si>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</si>
  <si>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</si>
  <si>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</si>
  <si>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</si>
  <si>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</si>
  <si>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</si>
  <si>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</si>
  <si>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</si>
  <si>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</si>
  <si>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</si>
  <si>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</si>
  <si>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</si>
  <si>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</si>
  <si>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</si>
  <si>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</si>
  <si>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</si>
  <si>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</si>
  <si>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</si>
  <si>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</si>
  <si>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</si>
  <si>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</si>
  <si>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</si>
  <si>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</si>
  <si>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</si>
  <si>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</si>
  <si>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</si>
  <si>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</si>
  <si>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</si>
  <si>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</si>
  <si>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</si>
  <si>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</si>
  <si>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</si>
  <si>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</si>
  <si>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</si>
  <si>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</si>
  <si>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</si>
  <si>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</si>
  <si>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</si>
  <si>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</si>
  <si>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</si>
  <si>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</si>
  <si>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</si>
  <si>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</si>
  <si>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</si>
  <si>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</si>
  <si>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</si>
  <si>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</si>
  <si>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</si>
  <si>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</si>
  <si>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</si>
  <si>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</si>
  <si>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</si>
  <si>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</si>
  <si>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</si>
  <si>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</si>
  <si>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</si>
  <si>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</si>
  <si>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</si>
  <si>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</si>
  <si>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</si>
  <si>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</si>
  <si>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</si>
  <si>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</si>
  <si>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</si>
  <si>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</si>
  <si>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</si>
  <si>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</si>
  <si>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</si>
  <si>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</si>
  <si>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</si>
  <si>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</si>
  <si>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</si>
  <si>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</si>
  <si>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</si>
  <si>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</si>
  <si>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</si>
  <si>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</si>
  <si>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</si>
  <si>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</si>
  <si>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</si>
  <si>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</si>
  <si>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</si>
  <si>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</si>
  <si>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</si>
  <si>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</si>
  <si>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</si>
  <si>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</si>
  <si>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</si>
  <si>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</si>
  <si>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</si>
  <si>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</si>
  <si>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</si>
  <si>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</si>
  <si>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</si>
  <si>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</si>
  <si>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</si>
  <si>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</si>
  <si>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</si>
  <si>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</si>
  <si>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</si>
  <si>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</si>
  <si>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</si>
  <si>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</si>
  <si>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</si>
  <si>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</si>
  <si>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</si>
  <si>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</si>
  <si>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</si>
  <si>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</si>
  <si>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</si>
  <si>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</si>
  <si>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</si>
  <si>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</si>
  <si>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</si>
  <si>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</si>
  <si>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</si>
  <si>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</si>
  <si>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</si>
  <si>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</si>
  <si>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</si>
  <si>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</si>
  <si>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</si>
  <si>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</si>
  <si>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</si>
  <si>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</si>
  <si>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</si>
  <si>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</si>
  <si>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</si>
  <si>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</si>
  <si>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</si>
  <si>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</si>
  <si>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</si>
  <si>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</si>
  <si>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</si>
  <si>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</si>
  <si>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</si>
  <si>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</si>
  <si>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</si>
  <si>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</si>
  <si>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</si>
  <si>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</si>
  <si>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</si>
  <si>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</si>
  <si>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</si>
  <si>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</si>
  <si>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</si>
  <si>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</si>
  <si>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</si>
  <si>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</si>
  <si>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</si>
  <si>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</si>
  <si>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</si>
  <si>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</si>
  <si>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</si>
  <si>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</si>
  <si>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</si>
  <si>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</si>
  <si>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</si>
  <si>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</si>
  <si>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</si>
  <si>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</si>
  <si>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</si>
  <si>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</si>
  <si>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</si>
  <si>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</si>
  <si>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</si>
  <si>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</si>
  <si>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</si>
  <si>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</si>
  <si>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</si>
  <si>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</si>
  <si>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</si>
  <si>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</si>
  <si>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</si>
  <si>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</si>
  <si>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</si>
  <si>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</si>
  <si>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</si>
  <si>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</si>
  <si>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</si>
  <si>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</si>
  <si>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</si>
  <si>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</si>
  <si>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</si>
  <si>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</si>
  <si>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</si>
  <si>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</si>
  <si>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</si>
  <si>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</si>
  <si>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</si>
  <si>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</si>
  <si>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</si>
  <si>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</si>
  <si>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</si>
  <si>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</si>
  <si>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</si>
  <si>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</si>
  <si>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</si>
  <si>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</si>
  <si>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</si>
  <si>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</si>
  <si>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</si>
  <si>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</si>
  <si>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</si>
  <si>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</si>
  <si>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</si>
  <si>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</si>
  <si>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</si>
  <si>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</si>
  <si>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</si>
  <si>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</si>
  <si>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</si>
  <si>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</si>
  <si>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</si>
  <si>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</si>
  <si>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</si>
  <si>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</si>
  <si>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</si>
  <si>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</si>
  <si>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</si>
  <si>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</si>
  <si>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</si>
  <si>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</si>
  <si>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</si>
  <si>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</si>
  <si>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</si>
  <si>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</si>
  <si>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</si>
  <si>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</si>
  <si>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</si>
  <si>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</si>
  <si>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</si>
  <si>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</si>
  <si>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</si>
  <si>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</si>
  <si>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</si>
  <si>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</si>
  <si>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</si>
  <si>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</si>
  <si>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</si>
  <si>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</si>
  <si>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</si>
  <si>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</si>
  <si>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</si>
  <si>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</si>
  <si>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</si>
  <si>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</si>
  <si>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</si>
  <si>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</si>
  <si>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</si>
  <si>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</si>
  <si>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</si>
  <si>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</si>
  <si>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</si>
  <si>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</si>
  <si>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</si>
  <si>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</si>
  <si>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</si>
  <si>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</si>
  <si>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</si>
  <si>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</si>
  <si>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</si>
  <si>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</si>
  <si>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</si>
  <si>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</si>
  <si>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</si>
  <si>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</si>
  <si>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</si>
  <si>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</si>
  <si>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</si>
  <si>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</si>
  <si>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</si>
  <si>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</si>
  <si>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</si>
  <si>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</si>
  <si>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</si>
  <si>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</si>
  <si>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</si>
  <si>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</si>
  <si>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</si>
  <si>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</si>
  <si>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</si>
  <si>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</si>
  <si>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</si>
  <si>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</si>
  <si>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</si>
  <si>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</si>
  <si>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</si>
  <si>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</si>
  <si>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</si>
  <si>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</si>
  <si>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</si>
  <si>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</si>
  <si>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</si>
  <si>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</si>
  <si>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</si>
  <si>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</si>
  <si>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</si>
  <si>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</si>
  <si>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</si>
  <si>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</si>
  <si>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</si>
  <si>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</si>
  <si>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</si>
  <si>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</si>
  <si>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</si>
  <si>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</si>
  <si>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</si>
  <si>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</si>
  <si>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</si>
  <si>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</si>
  <si>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</si>
  <si>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</si>
  <si>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</si>
  <si>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</si>
  <si>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</si>
  <si>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</si>
  <si>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</si>
  <si>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</si>
  <si>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</si>
  <si>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</si>
  <si>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</si>
  <si>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</si>
  <si>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</si>
  <si>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</si>
  <si>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</si>
  <si>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</si>
  <si>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</si>
  <si>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</si>
  <si>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</si>
  <si>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</si>
  <si>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</si>
  <si>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</si>
  <si>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</si>
  <si>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</si>
  <si>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</si>
  <si>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</si>
  <si>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</si>
  <si>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</si>
  <si>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</si>
  <si>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</si>
  <si>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</si>
  <si>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</si>
  <si>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</si>
  <si>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</si>
  <si>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</si>
  <si>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</si>
  <si>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</si>
  <si>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</si>
  <si>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</si>
  <si>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</si>
  <si>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</si>
  <si>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</si>
  <si>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</si>
  <si>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</si>
  <si>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</si>
  <si>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</si>
  <si>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</si>
  <si>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</si>
  <si>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</si>
  <si>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</si>
  <si>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</si>
  <si>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</si>
  <si>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</si>
  <si>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</si>
  <si>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</si>
  <si>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</si>
  <si>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</si>
  <si>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</si>
  <si>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</si>
  <si>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</si>
  <si>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</si>
  <si>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</si>
  <si>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</si>
  <si>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</si>
  <si>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</si>
  <si>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</si>
  <si>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</si>
  <si>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</si>
  <si>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</si>
  <si>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</si>
  <si>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</si>
  <si>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</si>
  <si>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</si>
  <si>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</si>
  <si>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</si>
  <si>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</si>
  <si>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</si>
  <si>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</si>
  <si>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</si>
  <si>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</si>
  <si>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</si>
  <si>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</si>
  <si>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</si>
  <si>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</si>
  <si>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</si>
  <si>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</si>
  <si>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</si>
  <si>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</si>
  <si>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</si>
  <si>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</si>
  <si>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</si>
  <si>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</si>
  <si>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</si>
  <si>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</si>
  <si>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</si>
  <si>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</si>
  <si>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</si>
  <si>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</si>
  <si>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</si>
  <si>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</si>
  <si>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</si>
  <si>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</si>
  <si>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</si>
  <si>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</si>
  <si>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</si>
  <si>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</si>
  <si>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</si>
  <si>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</si>
  <si>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</si>
  <si>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</si>
  <si>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</si>
  <si>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</si>
  <si>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</si>
  <si>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</si>
  <si>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</si>
  <si>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</si>
  <si>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</si>
  <si>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</si>
  <si>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</si>
  <si>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</si>
  <si>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</si>
  <si>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</si>
  <si>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</si>
  <si>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</si>
  <si>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</si>
  <si>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</si>
  <si>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</si>
  <si>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</si>
  <si>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</si>
  <si>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</si>
  <si>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</si>
  <si>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</si>
  <si>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</si>
  <si>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</si>
  <si>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</si>
  <si>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</si>
  <si>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</si>
  <si>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</si>
  <si>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</si>
  <si>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</si>
  <si>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</si>
  <si>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</si>
  <si>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</si>
  <si>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</si>
  <si>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</si>
  <si>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</si>
  <si>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</si>
  <si>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</si>
  <si>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</si>
  <si>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</si>
  <si>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</si>
  <si>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</si>
  <si>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</si>
  <si>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</si>
  <si>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</si>
  <si>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</si>
  <si>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</si>
  <si>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</si>
  <si>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</si>
  <si>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</si>
  <si>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</si>
  <si>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</si>
  <si>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</si>
  <si>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</si>
  <si>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</si>
  <si>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</si>
  <si>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</si>
  <si>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</si>
  <si>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</si>
  <si>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</si>
  <si>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</si>
  <si>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</si>
  <si>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</si>
  <si>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</si>
  <si>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</si>
  <si>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</si>
  <si>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</si>
  <si>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</si>
  <si>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</si>
  <si>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</si>
  <si>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</si>
  <si>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</si>
  <si>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</si>
  <si>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</si>
  <si>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</si>
  <si>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</si>
  <si>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</si>
  <si>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</si>
  <si>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</si>
  <si>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</si>
  <si>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</si>
  <si>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</si>
  <si>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</si>
  <si>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</si>
  <si>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</si>
  <si>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</si>
  <si>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</si>
  <si>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</si>
  <si>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</si>
  <si>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</si>
  <si>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</si>
  <si>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</si>
  <si>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</si>
  <si>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</si>
  <si>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</si>
  <si>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</si>
  <si>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</si>
  <si>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</si>
  <si>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</si>
  <si>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</si>
  <si>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</si>
  <si>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</si>
  <si>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</si>
  <si>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</si>
  <si>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</si>
  <si>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</si>
  <si>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</si>
  <si>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</si>
  <si>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</si>
  <si>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</si>
  <si>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</si>
  <si>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</si>
  <si>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</si>
  <si>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</si>
  <si>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</si>
  <si>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</si>
  <si>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</si>
  <si>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</si>
  <si>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</si>
  <si>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</si>
  <si>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</si>
  <si>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</si>
  <si>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</si>
  <si>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</si>
  <si>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</si>
  <si>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</si>
  <si>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</si>
  <si>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</si>
  <si>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</si>
  <si>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</si>
  <si>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</si>
  <si>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</si>
  <si>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</si>
  <si>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</si>
  <si>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</si>
  <si>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</si>
  <si>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</si>
  <si>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</si>
  <si>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</si>
  <si>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</si>
  <si>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</si>
  <si>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</si>
  <si>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</si>
  <si>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</si>
  <si>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</si>
  <si>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</si>
  <si>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</si>
  <si>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</si>
  <si>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</si>
  <si>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</si>
  <si>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</si>
  <si>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</si>
  <si>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</si>
  <si>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</si>
  <si>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</si>
  <si>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</si>
  <si>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</si>
  <si>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</si>
  <si>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</si>
  <si>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</si>
  <si>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</si>
  <si>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</si>
  <si>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</si>
  <si>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</si>
  <si>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</si>
  <si>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</si>
  <si>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</si>
  <si>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</si>
  <si>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</si>
  <si>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</si>
  <si>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</si>
  <si>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</si>
  <si>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</si>
  <si>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</si>
  <si>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</si>
  <si>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</si>
  <si>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</si>
  <si>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</si>
  <si>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</si>
  <si>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</si>
  <si>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</si>
  <si>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</si>
  <si>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</si>
  <si>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</si>
  <si>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</si>
  <si>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</si>
  <si>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</si>
  <si>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</si>
  <si>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</si>
  <si>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</si>
  <si>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</si>
  <si>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</si>
  <si>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</si>
  <si>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</si>
  <si>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</si>
  <si>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</si>
  <si>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</si>
  <si>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</si>
  <si>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</si>
  <si>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</si>
  <si>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</si>
  <si>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</si>
  <si>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</si>
  <si>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</si>
  <si>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</si>
  <si>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</si>
  <si>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</si>
  <si>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</si>
  <si>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</si>
  <si>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</si>
  <si>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</si>
  <si>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</si>
  <si>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</si>
  <si>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</si>
  <si>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</si>
  <si>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</si>
  <si>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</si>
  <si>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</si>
  <si>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</si>
  <si>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</si>
  <si>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</si>
  <si>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</si>
  <si>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</si>
  <si>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</si>
  <si>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</si>
  <si>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</si>
  <si>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</si>
  <si>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</si>
  <si>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</si>
  <si>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</si>
  <si>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</si>
  <si>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</si>
  <si>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</si>
  <si>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</si>
  <si>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</si>
  <si>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</si>
  <si>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</si>
  <si>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</si>
  <si>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</si>
  <si>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</si>
  <si>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</si>
  <si>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</si>
  <si>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</si>
  <si>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</si>
  <si>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</si>
  <si>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</si>
  <si>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</si>
  <si>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</si>
  <si>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</si>
  <si>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</si>
  <si>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</si>
  <si>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</si>
  <si>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</si>
  <si>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</si>
  <si>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</si>
  <si>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</si>
  <si>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</si>
  <si>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</si>
  <si>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</si>
  <si>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</si>
  <si>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</si>
  <si>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</si>
  <si>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</si>
  <si>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</si>
  <si>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</si>
  <si>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</si>
  <si>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</si>
  <si>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</si>
  <si>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</si>
  <si>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</si>
  <si>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</si>
  <si>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</si>
  <si>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</si>
  <si>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</si>
  <si>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</si>
  <si>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</si>
  <si>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</si>
  <si>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</si>
  <si>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</si>
  <si>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</si>
  <si>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</si>
  <si>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</si>
  <si>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</si>
  <si>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</si>
  <si>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</si>
  <si>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</si>
  <si>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</si>
  <si>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</si>
  <si>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</si>
  <si>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</si>
  <si>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</si>
  <si>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</si>
  <si>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</si>
  <si>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</si>
  <si>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</si>
  <si>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</si>
  <si>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</si>
  <si>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</si>
  <si>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</si>
  <si>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</si>
  <si>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</si>
  <si>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</si>
  <si>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</si>
  <si>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</si>
  <si>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</si>
  <si>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</si>
  <si>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</si>
  <si>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</si>
  <si>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</si>
  <si>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</si>
  <si>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</si>
  <si>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</si>
  <si>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</si>
  <si>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</si>
  <si>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</si>
  <si>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</si>
  <si>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</si>
  <si>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</si>
  <si>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</si>
  <si>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</si>
  <si>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</si>
  <si>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</si>
  <si>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</si>
  <si>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</si>
  <si>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</si>
  <si>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</si>
  <si>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</si>
  <si>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</si>
  <si>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</si>
  <si>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</si>
  <si>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</si>
  <si>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</si>
  <si>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</si>
  <si>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</si>
  <si>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</si>
  <si>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</si>
  <si>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</si>
  <si>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</si>
  <si>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</si>
  <si>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</si>
  <si>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</si>
  <si>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</si>
  <si>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</si>
  <si>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</si>
  <si>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</si>
  <si>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</si>
  <si>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</si>
  <si>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</si>
  <si>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</si>
  <si>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</si>
  <si>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</si>
  <si>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</si>
  <si>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</si>
  <si>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</si>
  <si>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</si>
  <si>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</si>
  <si>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</si>
  <si>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</si>
  <si>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</si>
  <si>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</si>
  <si>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</si>
  <si>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</si>
  <si>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</si>
  <si>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</si>
  <si>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</si>
  <si>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</si>
  <si>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</si>
  <si>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</si>
  <si>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</si>
  <si>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</si>
  <si>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</si>
  <si>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</si>
  <si>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</si>
  <si>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</si>
  <si>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</si>
  <si>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</si>
  <si>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</si>
  <si>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</si>
  <si>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</si>
  <si>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</si>
  <si>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</si>
  <si>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</si>
  <si>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</si>
  <si>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</si>
  <si>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</si>
  <si>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</si>
  <si>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</si>
  <si>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</si>
  <si>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</si>
  <si>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</si>
  <si>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</si>
  <si>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</si>
  <si>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</si>
  <si>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</si>
  <si>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</si>
  <si>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</si>
  <si>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</si>
  <si>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</si>
  <si>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</si>
  <si>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</si>
  <si>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</si>
  <si>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</si>
  <si>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</si>
  <si>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</si>
  <si>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</si>
  <si>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</si>
  <si>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</si>
  <si>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</si>
  <si>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</si>
  <si>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</si>
  <si>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</si>
  <si>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</si>
  <si>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</si>
  <si>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</si>
  <si>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</si>
  <si>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</si>
  <si>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</si>
  <si>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</si>
  <si>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</si>
  <si>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 xml:space="preserve">Арно Филип Франсоа Валто де Мулиак 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</si>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</sst>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Interim_Cash%20flow%2003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6_imter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06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0617_im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Trial%20Balance_0616_imte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330</v>
          </cell>
          <cell r="G13">
            <v>8884</v>
          </cell>
        </row>
        <row r="14">
          <cell r="C14">
            <v>10409</v>
          </cell>
        </row>
        <row r="15">
          <cell r="C15">
            <v>0</v>
          </cell>
        </row>
        <row r="16">
          <cell r="C16">
            <v>6013</v>
          </cell>
        </row>
        <row r="19">
          <cell r="C19">
            <v>123</v>
          </cell>
        </row>
        <row r="21">
          <cell r="G21">
            <v>-309</v>
          </cell>
        </row>
        <row r="23">
          <cell r="G23">
            <v>10774</v>
          </cell>
        </row>
        <row r="25">
          <cell r="C25">
            <v>4781</v>
          </cell>
        </row>
        <row r="26">
          <cell r="C26">
            <v>4</v>
          </cell>
        </row>
        <row r="27">
          <cell r="C27">
            <v>283892</v>
          </cell>
        </row>
        <row r="29">
          <cell r="G29">
            <v>160867</v>
          </cell>
        </row>
        <row r="32">
          <cell r="G32">
            <v>25052</v>
          </cell>
        </row>
        <row r="36">
          <cell r="C36">
            <v>5</v>
          </cell>
        </row>
        <row r="45">
          <cell r="G45">
            <v>28811</v>
          </cell>
        </row>
        <row r="49">
          <cell r="G49">
            <v>12592</v>
          </cell>
        </row>
        <row r="51">
          <cell r="C51">
            <v>290</v>
          </cell>
        </row>
        <row r="55">
          <cell r="C55">
            <v>6625</v>
          </cell>
        </row>
        <row r="59">
          <cell r="C59">
            <v>1064</v>
          </cell>
          <cell r="G59">
            <v>10099</v>
          </cell>
        </row>
        <row r="62">
          <cell r="G62">
            <v>76193</v>
          </cell>
        </row>
        <row r="64">
          <cell r="G64">
            <v>18219</v>
          </cell>
        </row>
        <row r="66">
          <cell r="G66">
            <v>3833</v>
          </cell>
        </row>
        <row r="67">
          <cell r="G67">
            <v>644</v>
          </cell>
        </row>
        <row r="68">
          <cell r="C68">
            <v>69</v>
          </cell>
          <cell r="G68">
            <v>724</v>
          </cell>
        </row>
        <row r="69">
          <cell r="C69">
            <v>35251</v>
          </cell>
          <cell r="G69">
            <v>6401</v>
          </cell>
        </row>
        <row r="70">
          <cell r="G70">
            <v>3552</v>
          </cell>
        </row>
        <row r="73">
          <cell r="C73">
            <v>76</v>
          </cell>
        </row>
        <row r="88">
          <cell r="C88">
            <v>39</v>
          </cell>
        </row>
        <row r="89">
          <cell r="C89">
            <v>17180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51">
          <cell r="O51">
            <v>16818.206090580003</v>
          </cell>
          <cell r="Q51">
            <v>17219.387567999995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Jun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</sheetNames>
    <sheetDataSet>
      <sheetData sheetId="0">
        <row r="368">
          <cell r="K36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O12">
            <v>73074.06760000001</v>
          </cell>
          <cell r="Q12">
            <v>78176.47285166667</v>
          </cell>
        </row>
        <row r="14">
          <cell r="O14">
            <v>-13371.31589</v>
          </cell>
          <cell r="Q14">
            <v>-14409</v>
          </cell>
        </row>
        <row r="15">
          <cell r="O15">
            <v>-970.2135816666666</v>
          </cell>
          <cell r="Q15">
            <v>-891</v>
          </cell>
        </row>
        <row r="16">
          <cell r="O16">
            <v>-8074.082833333336</v>
          </cell>
          <cell r="Q16">
            <v>-7224</v>
          </cell>
        </row>
        <row r="17">
          <cell r="O17">
            <v>-1010.0914600000001</v>
          </cell>
          <cell r="Q17">
            <v>-1068</v>
          </cell>
        </row>
        <row r="18">
          <cell r="O18">
            <v>0</v>
          </cell>
          <cell r="Q18">
            <v>-1496</v>
          </cell>
        </row>
        <row r="19">
          <cell r="O19">
            <v>-865.3399916666668</v>
          </cell>
          <cell r="Q19">
            <v>-921</v>
          </cell>
        </row>
        <row r="20">
          <cell r="O20">
            <v>-134.39020000000002</v>
          </cell>
          <cell r="Q20">
            <v>-135</v>
          </cell>
        </row>
        <row r="21">
          <cell r="O21">
            <v>-2305.7101766666706</v>
          </cell>
          <cell r="Q21">
            <v>-2828</v>
          </cell>
        </row>
        <row r="22">
          <cell r="O22">
            <v>-2443.0793166666667</v>
          </cell>
          <cell r="Q22">
            <v>-2372.837464999998</v>
          </cell>
        </row>
        <row r="30">
          <cell r="O30">
            <v>-11497.112224000002</v>
          </cell>
          <cell r="Q30">
            <v>-11614.13717</v>
          </cell>
        </row>
        <row r="34">
          <cell r="O34">
            <v>-12388.439183999999</v>
          </cell>
          <cell r="Q34">
            <v>-10362</v>
          </cell>
        </row>
        <row r="36">
          <cell r="O36">
            <v>-2288.5634099999997</v>
          </cell>
          <cell r="Q36">
            <v>-1916</v>
          </cell>
        </row>
        <row r="37">
          <cell r="O37">
            <v>-6093.3498899999995</v>
          </cell>
          <cell r="Q37">
            <v>-6535</v>
          </cell>
        </row>
        <row r="38">
          <cell r="O38">
            <v>-91.65666999999999</v>
          </cell>
          <cell r="Q38">
            <v>-281</v>
          </cell>
        </row>
        <row r="41">
          <cell r="O41">
            <v>-317.29373</v>
          </cell>
          <cell r="Q41">
            <v>-210</v>
          </cell>
        </row>
        <row r="42">
          <cell r="O42">
            <v>-2109.94027</v>
          </cell>
          <cell r="Q42">
            <v>-1759</v>
          </cell>
        </row>
        <row r="43">
          <cell r="O43">
            <v>71.57596</v>
          </cell>
          <cell r="Q43">
            <v>35</v>
          </cell>
        </row>
        <row r="44">
          <cell r="O44">
            <v>-772.59937</v>
          </cell>
          <cell r="Q44">
            <v>-1339</v>
          </cell>
        </row>
        <row r="47">
          <cell r="O47">
            <v>-4531.658109999999</v>
          </cell>
          <cell r="Q47">
            <v>-4532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accrual revenue"/>
      <sheetName val="NoteP&amp;L"/>
      <sheetName val="NoteBS"/>
      <sheetName val="FInst, loans"/>
      <sheetName val="loans_short_long"/>
      <sheetName val="loans"/>
      <sheetName val="WP_2017_Jun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</sheetNames>
    <sheetDataSet>
      <sheetData sheetId="0">
        <row r="371">
          <cell r="K371">
            <v>0</v>
          </cell>
        </row>
      </sheetData>
      <sheetData sheetId="2">
        <row r="71">
          <cell r="F71">
            <v>-185919468.01</v>
          </cell>
        </row>
        <row r="113">
          <cell r="F113">
            <v>1184564.3107934687</v>
          </cell>
        </row>
        <row r="115">
          <cell r="F115">
            <v>474342.3038139362</v>
          </cell>
        </row>
        <row r="116">
          <cell r="F116">
            <v>-14851710.254097825</v>
          </cell>
        </row>
      </sheetData>
      <sheetData sheetId="5">
        <row r="5">
          <cell r="AK5">
            <v>71598</v>
          </cell>
          <cell r="AL5">
            <v>64117</v>
          </cell>
        </row>
        <row r="6">
          <cell r="AK6">
            <v>1673</v>
          </cell>
          <cell r="AL6">
            <v>1056</v>
          </cell>
        </row>
        <row r="7">
          <cell r="AK7">
            <v>13083</v>
          </cell>
          <cell r="AL7">
            <v>13385</v>
          </cell>
        </row>
        <row r="10">
          <cell r="AK10">
            <v>-4269</v>
          </cell>
          <cell r="AL10">
            <v>-4298</v>
          </cell>
        </row>
        <row r="11">
          <cell r="AK11">
            <v>-12876</v>
          </cell>
          <cell r="AL11">
            <v>-11938</v>
          </cell>
        </row>
        <row r="12">
          <cell r="AK12">
            <v>-17946</v>
          </cell>
          <cell r="AL12">
            <v>-15705</v>
          </cell>
        </row>
        <row r="13">
          <cell r="AK13">
            <v>-10257</v>
          </cell>
          <cell r="AL13">
            <v>-8831</v>
          </cell>
        </row>
        <row r="14">
          <cell r="AK14">
            <v>-2536</v>
          </cell>
          <cell r="AL14">
            <v>-2217</v>
          </cell>
        </row>
        <row r="15">
          <cell r="AK15">
            <v>-4395</v>
          </cell>
          <cell r="AL15">
            <v>-3491</v>
          </cell>
        </row>
        <row r="16">
          <cell r="AK16">
            <v>-1724</v>
          </cell>
          <cell r="AL16">
            <v>-2878</v>
          </cell>
        </row>
        <row r="17">
          <cell r="AK17">
            <v>-13083</v>
          </cell>
          <cell r="AL17">
            <v>-13385</v>
          </cell>
        </row>
      </sheetData>
      <sheetData sheetId="6">
        <row r="11">
          <cell r="U11">
            <v>5</v>
          </cell>
        </row>
        <row r="12">
          <cell r="U12">
            <v>6150</v>
          </cell>
        </row>
        <row r="13">
          <cell r="U13">
            <v>220</v>
          </cell>
        </row>
        <row r="17">
          <cell r="U17">
            <v>2142</v>
          </cell>
        </row>
        <row r="18">
          <cell r="U18">
            <v>40485</v>
          </cell>
        </row>
        <row r="19">
          <cell r="U19">
            <v>289</v>
          </cell>
        </row>
        <row r="20">
          <cell r="U20">
            <v>2</v>
          </cell>
        </row>
        <row r="21">
          <cell r="U21">
            <v>25537</v>
          </cell>
        </row>
        <row r="24">
          <cell r="U24">
            <v>376745</v>
          </cell>
        </row>
        <row r="28">
          <cell r="U28">
            <v>8884</v>
          </cell>
        </row>
        <row r="29">
          <cell r="U29">
            <v>10774</v>
          </cell>
        </row>
        <row r="32">
          <cell r="I32">
            <v>-309</v>
          </cell>
        </row>
        <row r="35">
          <cell r="U35">
            <v>22501</v>
          </cell>
        </row>
        <row r="36">
          <cell r="U36">
            <v>1531</v>
          </cell>
        </row>
        <row r="37">
          <cell r="U37">
            <v>1084</v>
          </cell>
        </row>
        <row r="38">
          <cell r="U38">
            <v>2695</v>
          </cell>
        </row>
        <row r="39">
          <cell r="U39">
            <v>8409</v>
          </cell>
        </row>
        <row r="44">
          <cell r="U44">
            <v>784</v>
          </cell>
        </row>
        <row r="45">
          <cell r="U45">
            <v>152</v>
          </cell>
        </row>
        <row r="46">
          <cell r="U46">
            <v>0</v>
          </cell>
        </row>
        <row r="47">
          <cell r="U47">
            <v>3954</v>
          </cell>
        </row>
        <row r="49">
          <cell r="U49">
            <v>3146</v>
          </cell>
        </row>
        <row r="50">
          <cell r="U50">
            <v>422</v>
          </cell>
        </row>
        <row r="55">
          <cell r="U55">
            <v>376745</v>
          </cell>
        </row>
      </sheetData>
      <sheetData sheetId="8">
        <row r="75">
          <cell r="C75">
            <v>732</v>
          </cell>
        </row>
        <row r="82">
          <cell r="C82">
            <v>-347829.66</v>
          </cell>
        </row>
        <row r="83">
          <cell r="C83">
            <v>-1869129.89</v>
          </cell>
        </row>
        <row r="85">
          <cell r="C85">
            <v>-36999.68</v>
          </cell>
        </row>
        <row r="86">
          <cell r="C86">
            <v>-9178.5</v>
          </cell>
        </row>
        <row r="87">
          <cell r="C87">
            <v>0</v>
          </cell>
        </row>
        <row r="88">
          <cell r="C88">
            <v>-444956.88338024315</v>
          </cell>
        </row>
        <row r="89">
          <cell r="C89">
            <v>-23808</v>
          </cell>
        </row>
        <row r="90">
          <cell r="C90">
            <v>-26621.1</v>
          </cell>
        </row>
      </sheetData>
      <sheetData sheetId="9">
        <row r="40">
          <cell r="E40">
            <v>58</v>
          </cell>
        </row>
        <row r="54">
          <cell r="E54">
            <v>15985</v>
          </cell>
        </row>
        <row r="55">
          <cell r="E55">
            <v>2329</v>
          </cell>
        </row>
        <row r="56">
          <cell r="E56">
            <v>3799</v>
          </cell>
        </row>
        <row r="57">
          <cell r="E57">
            <v>0</v>
          </cell>
        </row>
        <row r="58">
          <cell r="E58">
            <v>0</v>
          </cell>
        </row>
        <row r="61">
          <cell r="E61">
            <v>729</v>
          </cell>
        </row>
        <row r="62">
          <cell r="E62">
            <v>3000</v>
          </cell>
        </row>
        <row r="63">
          <cell r="E63">
            <v>2052.34166</v>
          </cell>
        </row>
        <row r="64">
          <cell r="E64">
            <v>1457.12757</v>
          </cell>
        </row>
        <row r="65">
          <cell r="C65">
            <v>222604.88</v>
          </cell>
        </row>
        <row r="66">
          <cell r="E66">
            <v>2000</v>
          </cell>
        </row>
        <row r="107">
          <cell r="C107">
            <v>3157</v>
          </cell>
          <cell r="D107">
            <v>0</v>
          </cell>
          <cell r="E107">
            <v>-11</v>
          </cell>
          <cell r="F107">
            <v>0</v>
          </cell>
        </row>
      </sheetData>
      <sheetData sheetId="11">
        <row r="39">
          <cell r="G39">
            <v>8852306.534076273</v>
          </cell>
        </row>
        <row r="40">
          <cell r="G40">
            <v>71517801.49080727</v>
          </cell>
        </row>
        <row r="43">
          <cell r="G43">
            <v>31353048.38987331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Jun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</sheetNames>
    <sheetDataSet>
      <sheetData sheetId="2">
        <row r="113">
          <cell r="F113">
            <v>1438517.567887164</v>
          </cell>
        </row>
        <row r="115">
          <cell r="F115">
            <v>-164512.05218622927</v>
          </cell>
        </row>
      </sheetData>
      <sheetData sheetId="7">
        <row r="80">
          <cell r="C80">
            <v>488.26</v>
          </cell>
        </row>
        <row r="82">
          <cell r="C82">
            <v>-455465.73</v>
          </cell>
        </row>
        <row r="83">
          <cell r="C83">
            <v>-2179626.44</v>
          </cell>
        </row>
        <row r="85">
          <cell r="C85">
            <v>-58454.82</v>
          </cell>
        </row>
        <row r="87">
          <cell r="C87">
            <v>0</v>
          </cell>
        </row>
        <row r="88">
          <cell r="C88">
            <v>-624914.8518716022</v>
          </cell>
        </row>
        <row r="89">
          <cell r="C89">
            <v>-19202</v>
          </cell>
        </row>
        <row r="90">
          <cell r="C90">
            <v>-9129.58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42916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42941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42736</v>
      </c>
    </row>
    <row r="10" spans="1:2" ht="15.75">
      <c r="A10" s="7" t="s">
        <v>2</v>
      </c>
      <c r="B10" s="575">
        <v>42916</v>
      </c>
    </row>
    <row r="11" spans="1:2" ht="15.75">
      <c r="A11" s="7" t="s">
        <v>977</v>
      </c>
      <c r="B11" s="575">
        <v>42941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992</v>
      </c>
    </row>
    <row r="19" spans="1:2" ht="15.75">
      <c r="A19" s="7" t="s">
        <v>4</v>
      </c>
      <c r="B19" s="574" t="s">
        <v>993</v>
      </c>
    </row>
    <row r="20" spans="1:2" ht="15.75">
      <c r="A20" s="7" t="s">
        <v>5</v>
      </c>
      <c r="B20" s="574" t="s">
        <v>993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995</v>
      </c>
    </row>
    <row r="24" spans="1:2" ht="15.75">
      <c r="A24" s="10" t="s">
        <v>918</v>
      </c>
      <c r="B24" s="687" t="s">
        <v>996</v>
      </c>
    </row>
    <row r="25" spans="1:2" ht="15.75">
      <c r="A25" s="7" t="s">
        <v>921</v>
      </c>
      <c r="B25" s="688" t="s">
        <v>997</v>
      </c>
    </row>
    <row r="26" spans="1:2" ht="15.75">
      <c r="A26" s="10" t="s">
        <v>970</v>
      </c>
      <c r="B26" s="576" t="s">
        <v>998</v>
      </c>
    </row>
    <row r="27" spans="1:2" ht="15.75">
      <c r="A27" s="10" t="s">
        <v>971</v>
      </c>
      <c r="B27" s="576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01.01.2017 г. до 30.06.2017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376744.91841000004</v>
      </c>
      <c r="D6" s="672">
        <f aca="true" t="shared" si="0" ref="D6:D15">C6-E6</f>
        <v>-0.08158999995794147</v>
      </c>
      <c r="E6" s="671">
        <f>'1-Баланс'!G95</f>
        <v>376745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220119</v>
      </c>
      <c r="D7" s="672">
        <f t="shared" si="0"/>
        <v>211235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14851</v>
      </c>
      <c r="D8" s="672">
        <f t="shared" si="0"/>
        <v>-0.09338539259442769</v>
      </c>
      <c r="E8" s="671">
        <f>ABS('2-Отчет за доходите'!C44)-ABS('2-Отчет за доходите'!G44)</f>
        <v>14851.093385392594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17219</v>
      </c>
      <c r="D9" s="672">
        <f t="shared" si="0"/>
        <v>-0.3875679999946442</v>
      </c>
      <c r="E9" s="671">
        <f>'3-Отчет за паричния поток'!C45</f>
        <v>17219.387567999995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25537</v>
      </c>
      <c r="D10" s="672">
        <f t="shared" si="0"/>
        <v>-0.3875679999946442</v>
      </c>
      <c r="E10" s="671">
        <f>'3-Отчет за паричния поток'!C46</f>
        <v>25537.387567999995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220119</v>
      </c>
      <c r="D11" s="672">
        <f t="shared" si="0"/>
        <v>0</v>
      </c>
      <c r="E11" s="671">
        <f>'4-Отчет за собствения капитал'!L34</f>
        <v>220119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0.17197813650786298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0.0674680513722123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0.09481822941274118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0.03941924435949023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1.2363805569475266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0.5685347906250519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0.5507449794860722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0.21209075959669785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0.21209075959669785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0.284006035618494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0.2292107889986815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0.14129726651036323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0.7115514789727375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0.415734870853782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18773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0.0852856863787315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0.42520988940999366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4.2655301070290585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320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9831.939470000001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5531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153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141.22458000000006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16162.164050000001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4480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3.7543599999989965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281269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285752.75436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220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220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6150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308289.91841000004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2142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2142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40485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289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40776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58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25479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25537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68455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376744.91841000004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-309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10465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185919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185919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14851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200770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220119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24032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12188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36220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36220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9636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101994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75472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20314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3799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729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1680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5630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3146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120406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120406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376745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4269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12876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17946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10257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2536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19203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4395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67087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2263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27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468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2758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69845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16510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69845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16510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1658.906614607405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1184.5643107934686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474.3423038139362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14851.093385392594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14851.093385392594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86355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73271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13083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86354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86355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86355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86355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78176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-14409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-6816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-1916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-28550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26485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-10362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-10362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-4532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-1339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-1969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35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-7805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42916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8318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42916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17219.387567999995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42916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25537.387567999995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42916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25537.387567999995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42916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465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42916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42916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42916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42916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42916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42916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42916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42916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42916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42916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42916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42916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42916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42916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42916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42916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42916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42916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42916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42916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42916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42916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42916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42916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42916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42916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42916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42916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42916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42916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42916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42916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42916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42916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42916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42916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42916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42916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42916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42916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42916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42916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42916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42916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42916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-309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42916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42916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42916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42916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-309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42916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42916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42916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42916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42916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42916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42916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42916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42916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42916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42916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42916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42916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42916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-309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42916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42916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42916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-309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42916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42916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42916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42916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42916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42916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42916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42916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42916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42916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42916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42916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42916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42916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42916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42916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42916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42916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42916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42916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42916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42916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42916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42916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42916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42916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42916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42916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42916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42916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42916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42916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42916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42916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42916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42916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42916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42916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42916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42916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42916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42916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42916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42916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42916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42916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42916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42916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42916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42916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42916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42916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42916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42916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42916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42916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42916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42916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42916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42916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42916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42916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42916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42916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42916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42916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42916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185919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42916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42916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42916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42916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185919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42916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14851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42916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42916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42916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42916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42916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42916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42916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42916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42916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42916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42916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42916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42916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200770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42916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42916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42916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200770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42916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42916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42916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42916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42916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42916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42916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42916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42916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42916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42916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42916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42916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42916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42916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42916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42916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42916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42916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42916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42916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42916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42916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42916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42916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42916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42916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42916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42916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42916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42916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42916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42916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42916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42916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42916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42916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42916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42916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42916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42916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42916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42916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42916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42916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205268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42916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42916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42916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42916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205268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42916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14851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42916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42916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42916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42916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42916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42916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42916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42916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42916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42916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42916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42916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42916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220119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42916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42916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42916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220119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42916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42916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42916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42916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42916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42916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42916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42916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42916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42916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42916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42916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42916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42916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42916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42916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42916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42916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42916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42916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42916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42916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42916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42916</v>
      </c>
      <c r="D462" s="105" t="s">
        <v>526</v>
      </c>
      <c r="E462" s="493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42916</v>
      </c>
      <c r="D463" s="105" t="s">
        <v>529</v>
      </c>
      <c r="E463" s="493">
        <v>1</v>
      </c>
      <c r="F463" s="105" t="s">
        <v>528</v>
      </c>
      <c r="H463" s="105">
        <f>'Справка 6'!D13</f>
        <v>29666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42916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42916</v>
      </c>
      <c r="D465" s="105" t="s">
        <v>535</v>
      </c>
      <c r="E465" s="493">
        <v>1</v>
      </c>
      <c r="F465" s="105" t="s">
        <v>534</v>
      </c>
      <c r="H465" s="105">
        <f>'Справка 6'!D15</f>
        <v>14945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42916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42916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42916</v>
      </c>
      <c r="D468" s="105" t="s">
        <v>543</v>
      </c>
      <c r="E468" s="493">
        <v>1</v>
      </c>
      <c r="F468" s="105" t="s">
        <v>542</v>
      </c>
      <c r="H468" s="105">
        <f>'Справка 6'!D18</f>
        <v>1185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42916</v>
      </c>
      <c r="D469" s="105" t="s">
        <v>545</v>
      </c>
      <c r="E469" s="493">
        <v>1</v>
      </c>
      <c r="F469" s="105" t="s">
        <v>828</v>
      </c>
      <c r="H469" s="105">
        <f>'Справка 6'!D19</f>
        <v>46506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42916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42916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42916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42916</v>
      </c>
      <c r="D473" s="105" t="s">
        <v>555</v>
      </c>
      <c r="E473" s="493">
        <v>1</v>
      </c>
      <c r="F473" s="105" t="s">
        <v>554</v>
      </c>
      <c r="H473" s="105">
        <f>'Справка 6'!D24</f>
        <v>20085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42916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42916</v>
      </c>
      <c r="D475" s="105" t="s">
        <v>558</v>
      </c>
      <c r="E475" s="493">
        <v>1</v>
      </c>
      <c r="F475" s="105" t="s">
        <v>542</v>
      </c>
      <c r="H475" s="105">
        <f>'Справка 6'!D26</f>
        <v>462869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42916</v>
      </c>
      <c r="D476" s="105" t="s">
        <v>560</v>
      </c>
      <c r="E476" s="493">
        <v>1</v>
      </c>
      <c r="F476" s="105" t="s">
        <v>863</v>
      </c>
      <c r="H476" s="105">
        <f>'Справка 6'!D27</f>
        <v>503995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42916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42916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42916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42916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42916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42916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42916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42916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42916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42916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42916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42916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42916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42916</v>
      </c>
      <c r="D490" s="105" t="s">
        <v>583</v>
      </c>
      <c r="E490" s="493">
        <v>1</v>
      </c>
      <c r="F490" s="105" t="s">
        <v>582</v>
      </c>
      <c r="H490" s="105">
        <f>'Справка 6'!D42</f>
        <v>557894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42916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42916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42916</v>
      </c>
      <c r="D493" s="105" t="s">
        <v>529</v>
      </c>
      <c r="E493" s="493">
        <v>2</v>
      </c>
      <c r="F493" s="105" t="s">
        <v>528</v>
      </c>
      <c r="H493" s="105">
        <f>'Справка 6'!E13</f>
        <v>636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42916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42916</v>
      </c>
      <c r="D495" s="105" t="s">
        <v>535</v>
      </c>
      <c r="E495" s="493">
        <v>2</v>
      </c>
      <c r="F495" s="105" t="s">
        <v>534</v>
      </c>
      <c r="H495" s="105">
        <f>'Справка 6'!E15</f>
        <v>196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42916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42916</v>
      </c>
      <c r="D497" s="105" t="s">
        <v>540</v>
      </c>
      <c r="E497" s="493">
        <v>2</v>
      </c>
      <c r="F497" s="105" t="s">
        <v>539</v>
      </c>
      <c r="H497" s="105">
        <f>'Справка 6'!E17</f>
        <v>1018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42916</v>
      </c>
      <c r="D498" s="105" t="s">
        <v>543</v>
      </c>
      <c r="E498" s="493">
        <v>2</v>
      </c>
      <c r="F498" s="105" t="s">
        <v>542</v>
      </c>
      <c r="H498" s="105">
        <f>'Справка 6'!E18</f>
        <v>33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42916</v>
      </c>
      <c r="D499" s="105" t="s">
        <v>545</v>
      </c>
      <c r="E499" s="493">
        <v>2</v>
      </c>
      <c r="F499" s="105" t="s">
        <v>828</v>
      </c>
      <c r="H499" s="105">
        <f>'Справка 6'!E19</f>
        <v>1883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42916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42916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42916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42916</v>
      </c>
      <c r="D503" s="105" t="s">
        <v>555</v>
      </c>
      <c r="E503" s="493">
        <v>2</v>
      </c>
      <c r="F503" s="105" t="s">
        <v>554</v>
      </c>
      <c r="H503" s="105">
        <f>'Справка 6'!E24</f>
        <v>30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42916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42916</v>
      </c>
      <c r="D505" s="105" t="s">
        <v>558</v>
      </c>
      <c r="E505" s="493">
        <v>2</v>
      </c>
      <c r="F505" s="105" t="s">
        <v>542</v>
      </c>
      <c r="H505" s="105">
        <f>'Справка 6'!E26</f>
        <v>25973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42916</v>
      </c>
      <c r="D506" s="105" t="s">
        <v>560</v>
      </c>
      <c r="E506" s="493">
        <v>2</v>
      </c>
      <c r="F506" s="105" t="s">
        <v>863</v>
      </c>
      <c r="H506" s="105">
        <f>'Справка 6'!E27</f>
        <v>26003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42916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42916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42916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42916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42916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42916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42916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42916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42916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42916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42916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42916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42916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42916</v>
      </c>
      <c r="D520" s="105" t="s">
        <v>583</v>
      </c>
      <c r="E520" s="493">
        <v>2</v>
      </c>
      <c r="F520" s="105" t="s">
        <v>582</v>
      </c>
      <c r="H520" s="105">
        <f>'Справка 6'!E42</f>
        <v>27886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42916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42916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42916</v>
      </c>
      <c r="D523" s="105" t="s">
        <v>529</v>
      </c>
      <c r="E523" s="493">
        <v>3</v>
      </c>
      <c r="F523" s="105" t="s">
        <v>528</v>
      </c>
      <c r="H523" s="105">
        <f>'Справка 6'!F13</f>
        <v>28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42916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42916</v>
      </c>
      <c r="D525" s="105" t="s">
        <v>535</v>
      </c>
      <c r="E525" s="493">
        <v>3</v>
      </c>
      <c r="F525" s="105" t="s">
        <v>534</v>
      </c>
      <c r="H525" s="105">
        <f>'Справка 6'!F15</f>
        <v>524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42916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42916</v>
      </c>
      <c r="D527" s="105" t="s">
        <v>540</v>
      </c>
      <c r="E527" s="493">
        <v>3</v>
      </c>
      <c r="F527" s="105" t="s">
        <v>539</v>
      </c>
      <c r="H527" s="105">
        <f>'Справка 6'!F17</f>
        <v>865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42916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42916</v>
      </c>
      <c r="D529" s="105" t="s">
        <v>545</v>
      </c>
      <c r="E529" s="493">
        <v>3</v>
      </c>
      <c r="F529" s="105" t="s">
        <v>828</v>
      </c>
      <c r="H529" s="105">
        <f>'Справка 6'!F19</f>
        <v>1417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42916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42916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42916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42916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42916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42916</v>
      </c>
      <c r="D535" s="105" t="s">
        <v>558</v>
      </c>
      <c r="E535" s="493">
        <v>3</v>
      </c>
      <c r="F535" s="105" t="s">
        <v>542</v>
      </c>
      <c r="H535" s="105">
        <f>'Справка 6'!F26</f>
        <v>12889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42916</v>
      </c>
      <c r="D536" s="105" t="s">
        <v>560</v>
      </c>
      <c r="E536" s="493">
        <v>3</v>
      </c>
      <c r="F536" s="105" t="s">
        <v>863</v>
      </c>
      <c r="H536" s="105">
        <f>'Справка 6'!F27</f>
        <v>12889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42916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42916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42916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42916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42916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42916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42916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42916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42916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42916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42916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42916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42916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42916</v>
      </c>
      <c r="D550" s="105" t="s">
        <v>583</v>
      </c>
      <c r="E550" s="493">
        <v>3</v>
      </c>
      <c r="F550" s="105" t="s">
        <v>582</v>
      </c>
      <c r="H550" s="105">
        <f>'Справка 6'!F42</f>
        <v>14306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42916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42916</v>
      </c>
      <c r="D552" s="105" t="s">
        <v>526</v>
      </c>
      <c r="E552" s="493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42916</v>
      </c>
      <c r="D553" s="105" t="s">
        <v>529</v>
      </c>
      <c r="E553" s="493">
        <v>4</v>
      </c>
      <c r="F553" s="105" t="s">
        <v>528</v>
      </c>
      <c r="H553" s="105">
        <f>'Справка 6'!G13</f>
        <v>30274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42916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42916</v>
      </c>
      <c r="D555" s="105" t="s">
        <v>535</v>
      </c>
      <c r="E555" s="493">
        <v>4</v>
      </c>
      <c r="F555" s="105" t="s">
        <v>534</v>
      </c>
      <c r="H555" s="105">
        <f>'Справка 6'!G15</f>
        <v>14617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42916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42916</v>
      </c>
      <c r="D557" s="105" t="s">
        <v>540</v>
      </c>
      <c r="E557" s="493">
        <v>4</v>
      </c>
      <c r="F557" s="105" t="s">
        <v>539</v>
      </c>
      <c r="H557" s="105">
        <f>'Справка 6'!G17</f>
        <v>153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42916</v>
      </c>
      <c r="D558" s="105" t="s">
        <v>543</v>
      </c>
      <c r="E558" s="493">
        <v>4</v>
      </c>
      <c r="F558" s="105" t="s">
        <v>542</v>
      </c>
      <c r="H558" s="105">
        <f>'Справка 6'!G18</f>
        <v>1218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42916</v>
      </c>
      <c r="D559" s="105" t="s">
        <v>545</v>
      </c>
      <c r="E559" s="493">
        <v>4</v>
      </c>
      <c r="F559" s="105" t="s">
        <v>828</v>
      </c>
      <c r="H559" s="105">
        <f>'Справка 6'!G19</f>
        <v>46972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42916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42916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42916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42916</v>
      </c>
      <c r="D563" s="105" t="s">
        <v>555</v>
      </c>
      <c r="E563" s="493">
        <v>4</v>
      </c>
      <c r="F563" s="105" t="s">
        <v>554</v>
      </c>
      <c r="H563" s="105">
        <f>'Справка 6'!G24</f>
        <v>20115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42916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42916</v>
      </c>
      <c r="D565" s="105" t="s">
        <v>558</v>
      </c>
      <c r="E565" s="493">
        <v>4</v>
      </c>
      <c r="F565" s="105" t="s">
        <v>542</v>
      </c>
      <c r="H565" s="105">
        <f>'Справка 6'!G26</f>
        <v>475953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42916</v>
      </c>
      <c r="D566" s="105" t="s">
        <v>560</v>
      </c>
      <c r="E566" s="493">
        <v>4</v>
      </c>
      <c r="F566" s="105" t="s">
        <v>863</v>
      </c>
      <c r="H566" s="105">
        <f>'Справка 6'!G27</f>
        <v>517109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42916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42916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42916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42916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42916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42916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42916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42916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42916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42916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42916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42916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42916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42916</v>
      </c>
      <c r="D580" s="105" t="s">
        <v>583</v>
      </c>
      <c r="E580" s="493">
        <v>4</v>
      </c>
      <c r="F580" s="105" t="s">
        <v>582</v>
      </c>
      <c r="H580" s="105">
        <f>'Справка 6'!G42</f>
        <v>571474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42916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42916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42916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42916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42916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42916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42916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42916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42916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42916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42916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42916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42916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42916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42916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42916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42916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42916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42916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42916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42916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42916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42916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42916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42916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42916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42916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42916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42916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42916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42916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42916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42916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42916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42916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42916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42916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42916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42916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42916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42916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42916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42916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42916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42916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42916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42916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42916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42916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42916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42916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42916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42916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42916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42916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42916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42916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42916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42916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42916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42916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42916</v>
      </c>
      <c r="D642" s="105" t="s">
        <v>526</v>
      </c>
      <c r="E642" s="493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42916</v>
      </c>
      <c r="D643" s="105" t="s">
        <v>529</v>
      </c>
      <c r="E643" s="493">
        <v>7</v>
      </c>
      <c r="F643" s="105" t="s">
        <v>528</v>
      </c>
      <c r="H643" s="105">
        <f>'Справка 6'!J13</f>
        <v>30274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42916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42916</v>
      </c>
      <c r="D645" s="105" t="s">
        <v>535</v>
      </c>
      <c r="E645" s="493">
        <v>7</v>
      </c>
      <c r="F645" s="105" t="s">
        <v>534</v>
      </c>
      <c r="H645" s="105">
        <f>'Справка 6'!J15</f>
        <v>14617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42916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42916</v>
      </c>
      <c r="D647" s="105" t="s">
        <v>540</v>
      </c>
      <c r="E647" s="493">
        <v>7</v>
      </c>
      <c r="F647" s="105" t="s">
        <v>539</v>
      </c>
      <c r="H647" s="105">
        <f>'Справка 6'!J17</f>
        <v>153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42916</v>
      </c>
      <c r="D648" s="105" t="s">
        <v>543</v>
      </c>
      <c r="E648" s="493">
        <v>7</v>
      </c>
      <c r="F648" s="105" t="s">
        <v>542</v>
      </c>
      <c r="H648" s="105">
        <f>'Справка 6'!J18</f>
        <v>1218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42916</v>
      </c>
      <c r="D649" s="105" t="s">
        <v>545</v>
      </c>
      <c r="E649" s="493">
        <v>7</v>
      </c>
      <c r="F649" s="105" t="s">
        <v>828</v>
      </c>
      <c r="H649" s="105">
        <f>'Справка 6'!J19</f>
        <v>46972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42916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42916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42916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42916</v>
      </c>
      <c r="D653" s="105" t="s">
        <v>555</v>
      </c>
      <c r="E653" s="493">
        <v>7</v>
      </c>
      <c r="F653" s="105" t="s">
        <v>554</v>
      </c>
      <c r="H653" s="105">
        <f>'Справка 6'!J24</f>
        <v>20115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42916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42916</v>
      </c>
      <c r="D655" s="105" t="s">
        <v>558</v>
      </c>
      <c r="E655" s="493">
        <v>7</v>
      </c>
      <c r="F655" s="105" t="s">
        <v>542</v>
      </c>
      <c r="H655" s="105">
        <f>'Справка 6'!J26</f>
        <v>475953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42916</v>
      </c>
      <c r="D656" s="105" t="s">
        <v>560</v>
      </c>
      <c r="E656" s="493">
        <v>7</v>
      </c>
      <c r="F656" s="105" t="s">
        <v>863</v>
      </c>
      <c r="H656" s="105">
        <f>'Справка 6'!J27</f>
        <v>517109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42916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42916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42916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42916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42916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42916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42916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42916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42916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42916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42916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42916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42916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42916</v>
      </c>
      <c r="D670" s="105" t="s">
        <v>583</v>
      </c>
      <c r="E670" s="493">
        <v>7</v>
      </c>
      <c r="F670" s="105" t="s">
        <v>582</v>
      </c>
      <c r="H670" s="105">
        <f>'Справка 6'!J42</f>
        <v>571474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42916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42916</v>
      </c>
      <c r="D672" s="105" t="s">
        <v>526</v>
      </c>
      <c r="E672" s="493">
        <v>8</v>
      </c>
      <c r="F672" s="105" t="s">
        <v>525</v>
      </c>
      <c r="H672" s="105">
        <f>'Справка 6'!K12</f>
        <v>195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42916</v>
      </c>
      <c r="D673" s="105" t="s">
        <v>529</v>
      </c>
      <c r="E673" s="493">
        <v>8</v>
      </c>
      <c r="F673" s="105" t="s">
        <v>528</v>
      </c>
      <c r="H673" s="105">
        <f>'Справка 6'!K13</f>
        <v>19257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42916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42916</v>
      </c>
      <c r="D675" s="105" t="s">
        <v>535</v>
      </c>
      <c r="E675" s="493">
        <v>8</v>
      </c>
      <c r="F675" s="105" t="s">
        <v>534</v>
      </c>
      <c r="H675" s="105">
        <f>'Справка 6'!K15</f>
        <v>8932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42916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42916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42916</v>
      </c>
      <c r="D678" s="105" t="s">
        <v>543</v>
      </c>
      <c r="E678" s="493">
        <v>8</v>
      </c>
      <c r="F678" s="105" t="s">
        <v>542</v>
      </c>
      <c r="H678" s="105">
        <f>'Справка 6'!K18</f>
        <v>1060.77542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42916</v>
      </c>
      <c r="D679" s="105" t="s">
        <v>545</v>
      </c>
      <c r="E679" s="493">
        <v>8</v>
      </c>
      <c r="F679" s="105" t="s">
        <v>828</v>
      </c>
      <c r="H679" s="105">
        <f>'Справка 6'!K19</f>
        <v>29444.775419999998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42916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42916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42916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42916</v>
      </c>
      <c r="D683" s="105" t="s">
        <v>555</v>
      </c>
      <c r="E683" s="493">
        <v>8</v>
      </c>
      <c r="F683" s="105" t="s">
        <v>554</v>
      </c>
      <c r="H683" s="105">
        <f>'Справка 6'!K24</f>
        <v>15303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42916</v>
      </c>
      <c r="D684" s="105" t="s">
        <v>557</v>
      </c>
      <c r="E684" s="493">
        <v>8</v>
      </c>
      <c r="F684" s="105" t="s">
        <v>556</v>
      </c>
      <c r="H684" s="105">
        <f>'Справка 6'!K25</f>
        <v>21037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42916</v>
      </c>
      <c r="D685" s="105" t="s">
        <v>558</v>
      </c>
      <c r="E685" s="493">
        <v>8</v>
      </c>
      <c r="F685" s="105" t="s">
        <v>542</v>
      </c>
      <c r="H685" s="105">
        <f>'Справка 6'!K26</f>
        <v>178978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42916</v>
      </c>
      <c r="D686" s="105" t="s">
        <v>560</v>
      </c>
      <c r="E686" s="493">
        <v>8</v>
      </c>
      <c r="F686" s="105" t="s">
        <v>863</v>
      </c>
      <c r="H686" s="105">
        <f>'Справка 6'!K27</f>
        <v>215318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42916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42916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42916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42916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42916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42916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42916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42916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42916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42916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42916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42916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42916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42916</v>
      </c>
      <c r="D700" s="105" t="s">
        <v>583</v>
      </c>
      <c r="E700" s="493">
        <v>8</v>
      </c>
      <c r="F700" s="105" t="s">
        <v>582</v>
      </c>
      <c r="H700" s="105">
        <f>'Справка 6'!K42</f>
        <v>252155.77542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42916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42916</v>
      </c>
      <c r="D702" s="105" t="s">
        <v>526</v>
      </c>
      <c r="E702" s="493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42916</v>
      </c>
      <c r="D703" s="105" t="s">
        <v>529</v>
      </c>
      <c r="E703" s="493">
        <v>9</v>
      </c>
      <c r="F703" s="105" t="s">
        <v>528</v>
      </c>
      <c r="H703" s="105">
        <f>'Справка 6'!L13</f>
        <v>1209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42916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42916</v>
      </c>
      <c r="D705" s="105" t="s">
        <v>535</v>
      </c>
      <c r="E705" s="493">
        <v>9</v>
      </c>
      <c r="F705" s="105" t="s">
        <v>534</v>
      </c>
      <c r="H705" s="105">
        <f>'Справка 6'!L15</f>
        <v>677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42916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42916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42916</v>
      </c>
      <c r="D708" s="105" t="s">
        <v>543</v>
      </c>
      <c r="E708" s="493">
        <v>9</v>
      </c>
      <c r="F708" s="105" t="s">
        <v>542</v>
      </c>
      <c r="H708" s="105">
        <f>'Справка 6'!L18</f>
        <v>16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42916</v>
      </c>
      <c r="D709" s="105" t="s">
        <v>545</v>
      </c>
      <c r="E709" s="493">
        <v>9</v>
      </c>
      <c r="F709" s="105" t="s">
        <v>828</v>
      </c>
      <c r="H709" s="105">
        <f>'Справка 6'!L19</f>
        <v>1912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42916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42916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42916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42916</v>
      </c>
      <c r="D713" s="105" t="s">
        <v>555</v>
      </c>
      <c r="E713" s="493">
        <v>9</v>
      </c>
      <c r="F713" s="105" t="s">
        <v>554</v>
      </c>
      <c r="H713" s="105">
        <f>'Справка 6'!L24</f>
        <v>332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42916</v>
      </c>
      <c r="D714" s="105" t="s">
        <v>557</v>
      </c>
      <c r="E714" s="493">
        <v>9</v>
      </c>
      <c r="F714" s="105" t="s">
        <v>556</v>
      </c>
      <c r="H714" s="105">
        <f>'Справка 6'!L25</f>
        <v>0.24564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42916</v>
      </c>
      <c r="D715" s="105" t="s">
        <v>558</v>
      </c>
      <c r="E715" s="493">
        <v>9</v>
      </c>
      <c r="F715" s="105" t="s">
        <v>542</v>
      </c>
      <c r="H715" s="105">
        <f>'Справка 6'!L26</f>
        <v>15706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42916</v>
      </c>
      <c r="D716" s="105" t="s">
        <v>560</v>
      </c>
      <c r="E716" s="493">
        <v>9</v>
      </c>
      <c r="F716" s="105" t="s">
        <v>863</v>
      </c>
      <c r="H716" s="105">
        <f>'Справка 6'!L27</f>
        <v>16038.24564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42916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42916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42916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42916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42916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42916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42916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42916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42916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42916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42916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42916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42916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42916</v>
      </c>
      <c r="D730" s="105" t="s">
        <v>583</v>
      </c>
      <c r="E730" s="493">
        <v>9</v>
      </c>
      <c r="F730" s="105" t="s">
        <v>582</v>
      </c>
      <c r="H730" s="105">
        <f>'Справка 6'!L42</f>
        <v>17950.24564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42916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42916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42916</v>
      </c>
      <c r="D733" s="105" t="s">
        <v>529</v>
      </c>
      <c r="E733" s="493">
        <v>10</v>
      </c>
      <c r="F733" s="105" t="s">
        <v>528</v>
      </c>
      <c r="H733" s="105">
        <f>'Справка 6'!M13</f>
        <v>23.93947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42916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42916</v>
      </c>
      <c r="D735" s="105" t="s">
        <v>535</v>
      </c>
      <c r="E735" s="493">
        <v>10</v>
      </c>
      <c r="F735" s="105" t="s">
        <v>534</v>
      </c>
      <c r="H735" s="105">
        <f>'Справка 6'!M15</f>
        <v>523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42916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42916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42916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42916</v>
      </c>
      <c r="D739" s="105" t="s">
        <v>545</v>
      </c>
      <c r="E739" s="493">
        <v>10</v>
      </c>
      <c r="F739" s="105" t="s">
        <v>828</v>
      </c>
      <c r="H739" s="105">
        <f>'Справка 6'!M19</f>
        <v>546.93947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42916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42916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42916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42916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42916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42916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42916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42916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42916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42916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42916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42916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42916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42916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42916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42916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42916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42916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42916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42916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42916</v>
      </c>
      <c r="D760" s="105" t="s">
        <v>583</v>
      </c>
      <c r="E760" s="493">
        <v>10</v>
      </c>
      <c r="F760" s="105" t="s">
        <v>582</v>
      </c>
      <c r="H760" s="105">
        <f>'Справка 6'!M42</f>
        <v>546.93947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42916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42916</v>
      </c>
      <c r="D762" s="105" t="s">
        <v>526</v>
      </c>
      <c r="E762" s="493">
        <v>11</v>
      </c>
      <c r="F762" s="105" t="s">
        <v>525</v>
      </c>
      <c r="H762" s="105">
        <f>'Справка 6'!N12</f>
        <v>205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42916</v>
      </c>
      <c r="D763" s="105" t="s">
        <v>529</v>
      </c>
      <c r="E763" s="493">
        <v>11</v>
      </c>
      <c r="F763" s="105" t="s">
        <v>528</v>
      </c>
      <c r="H763" s="105">
        <f>'Справка 6'!N13</f>
        <v>20442.06053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42916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42916</v>
      </c>
      <c r="D765" s="105" t="s">
        <v>535</v>
      </c>
      <c r="E765" s="493">
        <v>11</v>
      </c>
      <c r="F765" s="105" t="s">
        <v>534</v>
      </c>
      <c r="H765" s="105">
        <f>'Справка 6'!N15</f>
        <v>9086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42916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42916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42916</v>
      </c>
      <c r="D768" s="105" t="s">
        <v>543</v>
      </c>
      <c r="E768" s="493">
        <v>11</v>
      </c>
      <c r="F768" s="105" t="s">
        <v>542</v>
      </c>
      <c r="H768" s="105">
        <f>'Справка 6'!N18</f>
        <v>1076.77542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42916</v>
      </c>
      <c r="D769" s="105" t="s">
        <v>545</v>
      </c>
      <c r="E769" s="493">
        <v>11</v>
      </c>
      <c r="F769" s="105" t="s">
        <v>828</v>
      </c>
      <c r="H769" s="105">
        <f>'Справка 6'!N19</f>
        <v>30809.835949999997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42916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42916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42916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42916</v>
      </c>
      <c r="D773" s="105" t="s">
        <v>555</v>
      </c>
      <c r="E773" s="493">
        <v>11</v>
      </c>
      <c r="F773" s="105" t="s">
        <v>554</v>
      </c>
      <c r="H773" s="105">
        <f>'Справка 6'!N24</f>
        <v>15635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42916</v>
      </c>
      <c r="D774" s="105" t="s">
        <v>557</v>
      </c>
      <c r="E774" s="493">
        <v>11</v>
      </c>
      <c r="F774" s="105" t="s">
        <v>556</v>
      </c>
      <c r="H774" s="105">
        <f>'Справка 6'!N25</f>
        <v>21037.24564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42916</v>
      </c>
      <c r="D775" s="105" t="s">
        <v>558</v>
      </c>
      <c r="E775" s="493">
        <v>11</v>
      </c>
      <c r="F775" s="105" t="s">
        <v>542</v>
      </c>
      <c r="H775" s="105">
        <f>'Справка 6'!N26</f>
        <v>194684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42916</v>
      </c>
      <c r="D776" s="105" t="s">
        <v>560</v>
      </c>
      <c r="E776" s="493">
        <v>11</v>
      </c>
      <c r="F776" s="105" t="s">
        <v>863</v>
      </c>
      <c r="H776" s="105">
        <f>'Справка 6'!N27</f>
        <v>231356.24564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42916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42916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42916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42916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42916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42916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42916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42916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42916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42916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42916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42916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42916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42916</v>
      </c>
      <c r="D790" s="105" t="s">
        <v>583</v>
      </c>
      <c r="E790" s="493">
        <v>11</v>
      </c>
      <c r="F790" s="105" t="s">
        <v>582</v>
      </c>
      <c r="H790" s="105">
        <f>'Справка 6'!N42</f>
        <v>269559.08159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42916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42916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42916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42916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42916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42916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42916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42916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42916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42916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42916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42916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42916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42916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42916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42916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42916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42916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42916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42916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42916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42916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42916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42916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42916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42916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42916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42916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42916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42916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42916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42916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42916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42916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42916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42916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42916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42916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42916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42916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42916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42916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42916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42916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42916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42916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42916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42916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42916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42916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42916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42916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42916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42916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42916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42916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42916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42916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42916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42916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42916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42916</v>
      </c>
      <c r="D852" s="105" t="s">
        <v>526</v>
      </c>
      <c r="E852" s="493">
        <v>14</v>
      </c>
      <c r="F852" s="105" t="s">
        <v>525</v>
      </c>
      <c r="H852" s="105">
        <f>'Справка 6'!Q12</f>
        <v>205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42916</v>
      </c>
      <c r="D853" s="105" t="s">
        <v>529</v>
      </c>
      <c r="E853" s="493">
        <v>14</v>
      </c>
      <c r="F853" s="105" t="s">
        <v>528</v>
      </c>
      <c r="H853" s="105">
        <f>'Справка 6'!Q13</f>
        <v>20442.06053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42916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42916</v>
      </c>
      <c r="D855" s="105" t="s">
        <v>535</v>
      </c>
      <c r="E855" s="493">
        <v>14</v>
      </c>
      <c r="F855" s="105" t="s">
        <v>534</v>
      </c>
      <c r="H855" s="105">
        <f>'Справка 6'!Q15</f>
        <v>9086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42916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42916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42916</v>
      </c>
      <c r="D858" s="105" t="s">
        <v>543</v>
      </c>
      <c r="E858" s="493">
        <v>14</v>
      </c>
      <c r="F858" s="105" t="s">
        <v>542</v>
      </c>
      <c r="H858" s="105">
        <f>'Справка 6'!Q18</f>
        <v>1076.77542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42916</v>
      </c>
      <c r="D859" s="105" t="s">
        <v>545</v>
      </c>
      <c r="E859" s="493">
        <v>14</v>
      </c>
      <c r="F859" s="105" t="s">
        <v>828</v>
      </c>
      <c r="H859" s="105">
        <f>'Справка 6'!Q19</f>
        <v>30809.835949999997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42916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42916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42916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42916</v>
      </c>
      <c r="D863" s="105" t="s">
        <v>555</v>
      </c>
      <c r="E863" s="493">
        <v>14</v>
      </c>
      <c r="F863" s="105" t="s">
        <v>554</v>
      </c>
      <c r="H863" s="105">
        <f>'Справка 6'!Q24</f>
        <v>15635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42916</v>
      </c>
      <c r="D864" s="105" t="s">
        <v>557</v>
      </c>
      <c r="E864" s="493">
        <v>14</v>
      </c>
      <c r="F864" s="105" t="s">
        <v>556</v>
      </c>
      <c r="H864" s="105">
        <f>'Справка 6'!Q25</f>
        <v>21037.24564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42916</v>
      </c>
      <c r="D865" s="105" t="s">
        <v>558</v>
      </c>
      <c r="E865" s="493">
        <v>14</v>
      </c>
      <c r="F865" s="105" t="s">
        <v>542</v>
      </c>
      <c r="H865" s="105">
        <f>'Справка 6'!Q26</f>
        <v>194684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42916</v>
      </c>
      <c r="D866" s="105" t="s">
        <v>560</v>
      </c>
      <c r="E866" s="493">
        <v>14</v>
      </c>
      <c r="F866" s="105" t="s">
        <v>863</v>
      </c>
      <c r="H866" s="105">
        <f>'Справка 6'!Q27</f>
        <v>231356.24564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42916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42916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42916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42916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42916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42916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42916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42916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42916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42916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42916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42916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42916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42916</v>
      </c>
      <c r="D880" s="105" t="s">
        <v>583</v>
      </c>
      <c r="E880" s="493">
        <v>14</v>
      </c>
      <c r="F880" s="105" t="s">
        <v>582</v>
      </c>
      <c r="H880" s="105">
        <f>'Справка 6'!Q42</f>
        <v>269559.08159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42916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42916</v>
      </c>
      <c r="D882" s="105" t="s">
        <v>526</v>
      </c>
      <c r="E882" s="493">
        <v>15</v>
      </c>
      <c r="F882" s="105" t="s">
        <v>525</v>
      </c>
      <c r="H882" s="105">
        <f>'Справка 6'!R12</f>
        <v>320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42916</v>
      </c>
      <c r="D883" s="105" t="s">
        <v>529</v>
      </c>
      <c r="E883" s="493">
        <v>15</v>
      </c>
      <c r="F883" s="105" t="s">
        <v>528</v>
      </c>
      <c r="H883" s="105">
        <f>'Справка 6'!R13</f>
        <v>9831.939470000001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42916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42916</v>
      </c>
      <c r="D885" s="105" t="s">
        <v>535</v>
      </c>
      <c r="E885" s="493">
        <v>15</v>
      </c>
      <c r="F885" s="105" t="s">
        <v>534</v>
      </c>
      <c r="H885" s="105">
        <f>'Справка 6'!R15</f>
        <v>5531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42916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42916</v>
      </c>
      <c r="D887" s="105" t="s">
        <v>540</v>
      </c>
      <c r="E887" s="493">
        <v>15</v>
      </c>
      <c r="F887" s="105" t="s">
        <v>539</v>
      </c>
      <c r="H887" s="105">
        <f>'Справка 6'!R17</f>
        <v>153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42916</v>
      </c>
      <c r="D888" s="105" t="s">
        <v>543</v>
      </c>
      <c r="E888" s="493">
        <v>15</v>
      </c>
      <c r="F888" s="105" t="s">
        <v>542</v>
      </c>
      <c r="H888" s="105">
        <f>'Справка 6'!R18</f>
        <v>141.22458000000006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42916</v>
      </c>
      <c r="D889" s="105" t="s">
        <v>545</v>
      </c>
      <c r="E889" s="493">
        <v>15</v>
      </c>
      <c r="F889" s="105" t="s">
        <v>828</v>
      </c>
      <c r="H889" s="105">
        <f>'Справка 6'!R19</f>
        <v>16162.164050000003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42916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42916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42916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42916</v>
      </c>
      <c r="D893" s="105" t="s">
        <v>555</v>
      </c>
      <c r="E893" s="493">
        <v>15</v>
      </c>
      <c r="F893" s="105" t="s">
        <v>554</v>
      </c>
      <c r="H893" s="105">
        <f>'Справка 6'!R24</f>
        <v>4480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42916</v>
      </c>
      <c r="D894" s="105" t="s">
        <v>557</v>
      </c>
      <c r="E894" s="493">
        <v>15</v>
      </c>
      <c r="F894" s="105" t="s">
        <v>556</v>
      </c>
      <c r="H894" s="105">
        <f>'Справка 6'!R25</f>
        <v>3.7543599999989965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42916</v>
      </c>
      <c r="D895" s="105" t="s">
        <v>558</v>
      </c>
      <c r="E895" s="493">
        <v>15</v>
      </c>
      <c r="F895" s="105" t="s">
        <v>542</v>
      </c>
      <c r="H895" s="105">
        <f>'Справка 6'!R26</f>
        <v>281269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42916</v>
      </c>
      <c r="D896" s="105" t="s">
        <v>560</v>
      </c>
      <c r="E896" s="493">
        <v>15</v>
      </c>
      <c r="F896" s="105" t="s">
        <v>863</v>
      </c>
      <c r="H896" s="105">
        <f>'Справка 6'!R27</f>
        <v>285752.75436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42916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42916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42916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42916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42916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42916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42916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42916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42916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42916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42916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42916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42916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42916</v>
      </c>
      <c r="D910" s="105" t="s">
        <v>583</v>
      </c>
      <c r="E910" s="493">
        <v>15</v>
      </c>
      <c r="F910" s="105" t="s">
        <v>582</v>
      </c>
      <c r="H910" s="105">
        <f>'Справка 6'!R42</f>
        <v>301914.91841000004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42916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42916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42916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42916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42916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42916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42916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220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42916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42916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220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42916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220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42916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6150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42916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2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42916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42916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42916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2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42916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40485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42916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42916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42916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42916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42916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289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42916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42916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289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42916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42916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42916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42916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42916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42916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42916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42916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40776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42916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47146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42916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42916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42916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42916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42916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42916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42916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42916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42916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42916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42916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42916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2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42916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42916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42916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2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42916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40485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42916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42916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42916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42916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42916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289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42916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42916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289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42916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42916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42916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42916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42916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42916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42916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42916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40776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42916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40776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42916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42916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42916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42916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42916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42916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42916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220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42916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42916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220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42916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220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42916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6150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42916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42916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42916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42916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42916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42916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42916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42916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42916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42916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42916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42916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42916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42916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42916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42916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42916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42916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42916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42916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42916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6370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42916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42916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42916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42916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42916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31353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42916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31353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42916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42916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42916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42916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42916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42916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42916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14503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42916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2315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42916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45856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42916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42916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75472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42916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42916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42916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75472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42916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42916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42916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42916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42916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42916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42916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42916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42916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42916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42916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26522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42916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42916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20314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42916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42916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3799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42916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1680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42916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1680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42916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42916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42916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729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42916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5630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42916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107624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42916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153480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42916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42916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42916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42916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42916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8852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42916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8852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42916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42916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42916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42916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42916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42916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42916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784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42916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784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42916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9636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42916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42916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75472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42916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42916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42916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75472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42916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42916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42916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42916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42916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42916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42916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42916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42916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42916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42916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26522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42916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42916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20314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42916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42916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3799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42916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1680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42916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1680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42916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42916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42916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729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42916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5630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42916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107624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42916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117260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42916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42916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42916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42916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42916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22501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42916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22501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42916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42916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42916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42916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42916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42916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42916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13719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42916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1531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42916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36220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42916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42916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42916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42916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42916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42916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42916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42916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42916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42916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42916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42916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42916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42916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42916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42916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42916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42916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42916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42916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42916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42916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42916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42916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42916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42916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42916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42916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36220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42916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42916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42916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42916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42916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42916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42916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42916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42916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42916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42916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42916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42916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42916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42916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42916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42916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42916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42916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42916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42916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42916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42916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42916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42916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42916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42916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42916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42916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42916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42916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42916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42916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42916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42916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42916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42916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42916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42916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42916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42916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42916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42916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42916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3157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42916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42916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42916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3157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42916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42916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42916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42916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42916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11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42916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42916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42916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11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42916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3146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42916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42916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42916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3146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42916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42916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42916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42916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42916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42916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42916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42916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42916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42916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42916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42916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42916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42916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42916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42916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42916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42916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42916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42916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42916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42916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42916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42916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42916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42916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42916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42916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42916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42916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42916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42916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42916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42916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42916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42916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42916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42916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42916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42916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42916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42916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42916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42916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42916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42916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42916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42916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42916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42916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42916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42916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42916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42916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42916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42916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42916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42916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42916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42916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42916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42916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42916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42916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42916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42916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42916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42916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42916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42916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42916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42916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42916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42916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42916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42916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42916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42916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42916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42916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42916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42916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42916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42916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42916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42916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42916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42916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42916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42916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42916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42916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42916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42916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42916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42916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42916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42916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42916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42916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42916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42916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42916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42916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42916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42916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42916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42916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42916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42916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42916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42916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42916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42916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42916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42916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42916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42916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42916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42916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42916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42916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42916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42916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42916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42916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42916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42916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42916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42916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42916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42916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42916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42916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61" sqref="G6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'[2]1-Баланс'!C12</f>
        <v>185</v>
      </c>
      <c r="E12" s="89" t="s">
        <v>25</v>
      </c>
      <c r="F12" s="93" t="s">
        <v>26</v>
      </c>
      <c r="G12" s="197">
        <f>'[7]BS_KPMG (2)'!$U$28</f>
        <v>8884</v>
      </c>
      <c r="H12" s="196">
        <f>'[2]1-Баланс'!G12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320</v>
      </c>
      <c r="D13" s="196">
        <f>'[2]1-Баланс'!C13</f>
        <v>330</v>
      </c>
      <c r="E13" s="89" t="s">
        <v>846</v>
      </c>
      <c r="F13" s="93" t="s">
        <v>29</v>
      </c>
      <c r="G13" s="197">
        <f>G12</f>
        <v>8884</v>
      </c>
      <c r="H13" s="196">
        <f>'[2]1-Баланс'!G13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9831.939470000001</v>
      </c>
      <c r="D14" s="196">
        <f>'[2]1-Баланс'!C14</f>
        <v>10409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'[2]1-Баланс'!C15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5531</v>
      </c>
      <c r="D16" s="196">
        <f>'[2]1-Баланс'!C16</f>
        <v>6013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153</v>
      </c>
      <c r="D18" s="196"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141.22458000000006</v>
      </c>
      <c r="D19" s="196">
        <f>'[2]1-Баланс'!C19</f>
        <v>123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16162.164050000001</v>
      </c>
      <c r="D20" s="595">
        <f>SUM(D12:D19)</f>
        <v>17060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'[7]BS_KPMG (2)'!$I$32</f>
        <v>-309</v>
      </c>
      <c r="H21" s="196">
        <f>'[2]1-Баланс'!$G$21</f>
        <v>-309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'[7]BS_KPMG (2)'!$U$29</f>
        <v>10774</v>
      </c>
      <c r="H23" s="196">
        <f>'[2]1-Баланс'!$G$23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4480</v>
      </c>
      <c r="D25" s="196">
        <f>'[2]1-Баланс'!C25</f>
        <v>4781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3.7543599999989965</v>
      </c>
      <c r="D26" s="196">
        <f>'[2]1-Баланс'!C26</f>
        <v>4</v>
      </c>
      <c r="E26" s="481" t="s">
        <v>77</v>
      </c>
      <c r="F26" s="95" t="s">
        <v>78</v>
      </c>
      <c r="G26" s="594">
        <f>G20+G21+G22</f>
        <v>10465</v>
      </c>
      <c r="H26" s="595">
        <f>H20+H21+H22</f>
        <v>10465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281269</v>
      </c>
      <c r="D27" s="196">
        <f>'[2]1-Баланс'!C27</f>
        <v>283892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285752.75436</v>
      </c>
      <c r="D28" s="595">
        <f>SUM(D24:D27)</f>
        <v>288677</v>
      </c>
      <c r="E28" s="202" t="s">
        <v>84</v>
      </c>
      <c r="F28" s="93" t="s">
        <v>85</v>
      </c>
      <c r="G28" s="592">
        <f>SUM(G29:G31)</f>
        <v>185919</v>
      </c>
      <c r="H28" s="593">
        <f>SUM(H29:H31)</f>
        <v>160867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ROUND(-'[7]IAS'!$F$71/1000,0)</f>
        <v>185919</v>
      </c>
      <c r="H29" s="196">
        <f>'[2]1-Баланс'!G29</f>
        <v>160867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-ROUND('[7]IAS'!$F$116/1000,0)-1</f>
        <v>14851</v>
      </c>
      <c r="H32" s="196">
        <f>'[2]1-Баланс'!G32</f>
        <v>25052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200770</v>
      </c>
      <c r="H34" s="595">
        <f>H28+H32+H33</f>
        <v>185919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'[7]BS_KPMG (2)'!$U$11</f>
        <v>5</v>
      </c>
      <c r="D36" s="196">
        <f>'[2]1-Баланс'!$C$36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220119</v>
      </c>
      <c r="H37" s="597">
        <f>H26+H18+H34</f>
        <v>205268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'[7]BS_KPMG (2)'!$U$35+'[7]BS_KPMG (2)'!$U$36</f>
        <v>24032</v>
      </c>
      <c r="H45" s="196">
        <f>'[2]1-Баланс'!G45</f>
        <v>28811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'[7]BS_KPMG (2)'!$U$37+'[7]BS_KPMG (2)'!$U$38+'[7]BS_KPMG (2)'!$U$39</f>
        <v>12188</v>
      </c>
      <c r="H49" s="196">
        <f>'[2]1-Баланс'!G49</f>
        <v>12592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36220</v>
      </c>
      <c r="H50" s="593">
        <f>SUM(H44:H49)</f>
        <v>41403</v>
      </c>
    </row>
    <row r="51" spans="1:8" ht="15.75">
      <c r="A51" s="89" t="s">
        <v>79</v>
      </c>
      <c r="B51" s="91" t="s">
        <v>155</v>
      </c>
      <c r="C51" s="197">
        <f>'[7]BS_KPMG (2)'!$U$13</f>
        <v>220</v>
      </c>
      <c r="D51" s="196">
        <f>'[2]1-Баланс'!$C$51</f>
        <v>290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220</v>
      </c>
      <c r="D52" s="595">
        <f>SUM(D48:D51)</f>
        <v>290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'[7]BS_KPMG (2)'!$U$12</f>
        <v>6150</v>
      </c>
      <c r="D55" s="476">
        <f>'[2]1-Баланс'!$C$55</f>
        <v>6625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308289.91841000004</v>
      </c>
      <c r="D56" s="599">
        <f>D20+D21+D22+D28+D33+D46+D52+D54+D55</f>
        <v>312657</v>
      </c>
      <c r="E56" s="100" t="s">
        <v>850</v>
      </c>
      <c r="F56" s="99" t="s">
        <v>172</v>
      </c>
      <c r="G56" s="596">
        <f>G50+G52+G53+G54+G55</f>
        <v>36220</v>
      </c>
      <c r="H56" s="597">
        <f>H50+H52+H53+H54+H55</f>
        <v>41403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'[7]BS_KPMG (2)'!$U$17</f>
        <v>2142</v>
      </c>
      <c r="D59" s="196">
        <f>'[2]1-Баланс'!$C$59</f>
        <v>1064</v>
      </c>
      <c r="E59" s="201" t="s">
        <v>180</v>
      </c>
      <c r="F59" s="483" t="s">
        <v>181</v>
      </c>
      <c r="G59" s="197">
        <f>ROUND('[7]BS_KPMG (2)'!$U$44+'[7]loans_short_long'!$G$39/1000,0)</f>
        <v>9636</v>
      </c>
      <c r="H59" s="196">
        <f>'[2]1-Баланс'!G59</f>
        <v>10099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101994</v>
      </c>
      <c r="H61" s="593">
        <f>SUM(H62:H68)</f>
        <v>99613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'[7]BS_KPMG (2)'!$U$47+ROUND('[7]loans_short_long'!$G$40/1000,0)</f>
        <v>75472</v>
      </c>
      <c r="H62" s="196">
        <f>'[2]1-Баланс'!G62</f>
        <v>76193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'[2]1-Баланс'!G63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ROUND('[7]NoteBS'!$E$54+'[7]NoteBS'!$E$55+'[7]NoteBS'!$E$57+'[7]NoteBS'!$E$58+'[7]NoteBS'!$E$66,0)</f>
        <v>20314</v>
      </c>
      <c r="H64" s="196">
        <f>'[2]1-Баланс'!G64</f>
        <v>18219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2142</v>
      </c>
      <c r="D65" s="595">
        <f>SUM(D59:D64)</f>
        <v>1064</v>
      </c>
      <c r="E65" s="89" t="s">
        <v>201</v>
      </c>
      <c r="F65" s="93" t="s">
        <v>202</v>
      </c>
      <c r="G65" s="197"/>
      <c r="H65" s="196">
        <f>'[2]1-Баланс'!G65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ROUND('[7]NoteBS'!$E$56,0)</f>
        <v>3799</v>
      </c>
      <c r="H66" s="196">
        <f>'[2]1-Баланс'!G66</f>
        <v>3833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ROUND('[7]NoteBS'!$E$61,0)</f>
        <v>729</v>
      </c>
      <c r="H67" s="196">
        <f>'[2]1-Баланс'!G67</f>
        <v>644</v>
      </c>
    </row>
    <row r="68" spans="1:8" ht="15.75">
      <c r="A68" s="89" t="s">
        <v>206</v>
      </c>
      <c r="B68" s="91" t="s">
        <v>207</v>
      </c>
      <c r="C68" s="197">
        <f>'[7]BS_KPMG (2)'!$U$20</f>
        <v>2</v>
      </c>
      <c r="D68" s="196">
        <f>'[2]1-Баланс'!C68</f>
        <v>69</v>
      </c>
      <c r="E68" s="89" t="s">
        <v>212</v>
      </c>
      <c r="F68" s="93" t="s">
        <v>213</v>
      </c>
      <c r="G68" s="197">
        <f>ROUND('[7]BS_KPMG (2)'!$U$46+'[7]NoteBS'!$E$64+'[7]NoteBS'!$C$65/1000,0)</f>
        <v>1680</v>
      </c>
      <c r="H68" s="196">
        <f>'[2]1-Баланс'!G68</f>
        <v>724</v>
      </c>
    </row>
    <row r="69" spans="1:8" ht="15.75">
      <c r="A69" s="89" t="s">
        <v>210</v>
      </c>
      <c r="B69" s="91" t="s">
        <v>211</v>
      </c>
      <c r="C69" s="197">
        <f>'[7]BS_KPMG (2)'!$U$18</f>
        <v>40485</v>
      </c>
      <c r="D69" s="196">
        <f>'[2]1-Баланс'!C69</f>
        <v>35251</v>
      </c>
      <c r="E69" s="201" t="s">
        <v>79</v>
      </c>
      <c r="F69" s="93" t="s">
        <v>216</v>
      </c>
      <c r="G69" s="197">
        <f>ROUND('[7]NoteBS'!$E$62+'[7]NoteBS'!$E$63+'[7]BS_KPMG (2)'!$U$45++'[7]BS_KPMG (2)'!$U$50,0)+4</f>
        <v>5630</v>
      </c>
      <c r="H69" s="196">
        <f>'[2]1-Баланс'!G69</f>
        <v>6401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ROUND('[7]BS_KPMG (2)'!$U$49,0)</f>
        <v>3146</v>
      </c>
      <c r="H70" s="196">
        <f>'[2]1-Баланс'!G70</f>
        <v>3552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120406</v>
      </c>
      <c r="H71" s="595">
        <f>H59+H60+H61+H69+H70</f>
        <v>119665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'[7]BS_KPMG (2)'!$U$19</f>
        <v>289</v>
      </c>
      <c r="D73" s="196">
        <f>'[2]1-Баланс'!C73</f>
        <v>76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40776</v>
      </c>
      <c r="D76" s="595">
        <f>SUM(D68:D75)</f>
        <v>35396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120406</v>
      </c>
      <c r="H79" s="597">
        <f>H71+H73+H75+H77</f>
        <v>119665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'[7]NoteBS'!$E$40</f>
        <v>58</v>
      </c>
      <c r="D88" s="196">
        <f>'[2]1-Баланс'!C88</f>
        <v>39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'[7]BS_KPMG (2)'!$U$21-C88</f>
        <v>25479</v>
      </c>
      <c r="D89" s="196">
        <f>'[2]1-Баланс'!C89</f>
        <v>17180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'[2]1-Баланс'!C90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'[2]1-Баланс'!C91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25537</v>
      </c>
      <c r="D92" s="595">
        <f>SUM(D88:D91)</f>
        <v>17219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68455</v>
      </c>
      <c r="D94" s="599">
        <f>D65+D76+D85+D92+D93</f>
        <v>53679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376744.91841000004</v>
      </c>
      <c r="D95" s="601">
        <f>D94+D56</f>
        <v>366336</v>
      </c>
      <c r="E95" s="229" t="s">
        <v>942</v>
      </c>
      <c r="F95" s="486" t="s">
        <v>268</v>
      </c>
      <c r="G95" s="600">
        <f>G37+G40+G56+G79</f>
        <v>376745</v>
      </c>
      <c r="H95" s="601">
        <f>H37+H40+H56+H79</f>
        <v>366336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09">
        <f>pdeReportingDate</f>
        <v>42941</v>
      </c>
      <c r="C98" s="709"/>
      <c r="D98" s="709"/>
      <c r="E98" s="709"/>
      <c r="F98" s="709"/>
      <c r="G98" s="709"/>
      <c r="H98" s="70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0" t="str">
        <f>authorName</f>
        <v>Анелия Илиева Илиева</v>
      </c>
      <c r="C100" s="710"/>
      <c r="D100" s="710"/>
      <c r="E100" s="710"/>
      <c r="F100" s="710"/>
      <c r="G100" s="710"/>
      <c r="H100" s="71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3"/>
      <c r="B103" s="707" t="s">
        <v>991</v>
      </c>
      <c r="C103" s="707"/>
      <c r="D103" s="707"/>
      <c r="E103" s="707"/>
      <c r="M103" s="98"/>
    </row>
    <row r="104" spans="1:5" ht="21.75" customHeight="1">
      <c r="A104" s="693"/>
      <c r="B104" s="707" t="s">
        <v>979</v>
      </c>
      <c r="C104" s="707"/>
      <c r="D104" s="707"/>
      <c r="E104" s="707"/>
    </row>
    <row r="105" spans="1:13" ht="21.75" customHeight="1">
      <c r="A105" s="693"/>
      <c r="B105" s="707" t="s">
        <v>979</v>
      </c>
      <c r="C105" s="707"/>
      <c r="D105" s="707"/>
      <c r="E105" s="707"/>
      <c r="M105" s="98"/>
    </row>
    <row r="106" spans="1:5" ht="21.75" customHeight="1">
      <c r="A106" s="693"/>
      <c r="B106" s="707" t="s">
        <v>979</v>
      </c>
      <c r="C106" s="707"/>
      <c r="D106" s="707"/>
      <c r="E106" s="707"/>
    </row>
    <row r="107" spans="1:13" ht="21.75" customHeight="1">
      <c r="A107" s="693"/>
      <c r="B107" s="708">
        <f>'[7]BS_KPMG (2)'!$U$24-C95</f>
        <v>0.08158999995794147</v>
      </c>
      <c r="C107" s="707"/>
      <c r="D107" s="707"/>
      <c r="E107" s="707"/>
      <c r="M107" s="98"/>
    </row>
    <row r="108" spans="1:5" ht="21.75" customHeight="1">
      <c r="A108" s="693"/>
      <c r="B108" s="708">
        <f>G95-'[7]BS_KPMG (2)'!$U$55</f>
        <v>0</v>
      </c>
      <c r="C108" s="707"/>
      <c r="D108" s="707"/>
      <c r="E108" s="707"/>
    </row>
    <row r="109" spans="1:13" ht="21.75" customHeight="1">
      <c r="A109" s="693"/>
      <c r="B109" s="707"/>
      <c r="C109" s="707"/>
      <c r="D109" s="707"/>
      <c r="E109" s="707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0" sqref="C20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-'[7]PL_KPMG'!AK10</f>
        <v>4269</v>
      </c>
      <c r="D12" s="316">
        <f>-'[7]PL_KPMG'!AL10</f>
        <v>4298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-'[7]PL_KPMG'!AK11</f>
        <v>12876</v>
      </c>
      <c r="D13" s="316">
        <f>-'[7]PL_KPMG'!AL11</f>
        <v>11938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-'[7]PL_KPMG'!AK12</f>
        <v>17946</v>
      </c>
      <c r="D14" s="316">
        <f>-'[7]PL_KPMG'!AL12</f>
        <v>15705</v>
      </c>
      <c r="E14" s="245" t="s">
        <v>285</v>
      </c>
      <c r="F14" s="240" t="s">
        <v>286</v>
      </c>
      <c r="G14" s="316">
        <f>'[7]PL_KPMG'!AK$5+'[7]PL_KPMG'!AK$6</f>
        <v>73271</v>
      </c>
      <c r="H14" s="316">
        <f>'[7]PL_KPMG'!AL$5+'[7]PL_KPMG'!AL$6</f>
        <v>65173</v>
      </c>
    </row>
    <row r="15" spans="1:8" ht="15.75">
      <c r="A15" s="194" t="s">
        <v>287</v>
      </c>
      <c r="B15" s="190" t="s">
        <v>288</v>
      </c>
      <c r="C15" s="316">
        <f>-'[7]PL_KPMG'!AK13</f>
        <v>10257</v>
      </c>
      <c r="D15" s="316">
        <f>-'[7]PL_KPMG'!AL13</f>
        <v>8831</v>
      </c>
      <c r="E15" s="245" t="s">
        <v>79</v>
      </c>
      <c r="F15" s="240" t="s">
        <v>289</v>
      </c>
      <c r="G15" s="316">
        <f>'[7]PL_KPMG'!AK$7</f>
        <v>13083</v>
      </c>
      <c r="H15" s="316">
        <f>'[7]PL_KPMG'!AL$7</f>
        <v>13385</v>
      </c>
    </row>
    <row r="16" spans="1:8" ht="15.75">
      <c r="A16" s="194" t="s">
        <v>290</v>
      </c>
      <c r="B16" s="190" t="s">
        <v>291</v>
      </c>
      <c r="C16" s="316">
        <f>-'[7]PL_KPMG'!AK14</f>
        <v>2536</v>
      </c>
      <c r="D16" s="316">
        <f>-'[7]PL_KPMG'!AL14</f>
        <v>2217</v>
      </c>
      <c r="E16" s="236" t="s">
        <v>52</v>
      </c>
      <c r="F16" s="264" t="s">
        <v>292</v>
      </c>
      <c r="G16" s="625">
        <f>SUM(G12:G15)</f>
        <v>86354</v>
      </c>
      <c r="H16" s="626">
        <f>SUM(H12:H15)</f>
        <v>78558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-SUM('[7]PL_KPMG'!AK$15:AK$17)+1</f>
        <v>19203</v>
      </c>
      <c r="D19" s="316">
        <f>-SUM('[7]PL_KPMG'!AL$15:AL$17)</f>
        <v>19754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-'[7]PL_KPMG'!AK$15</f>
        <v>4395</v>
      </c>
      <c r="D20" s="316">
        <f>-'[7]PL_KPMG'!AL$15</f>
        <v>3491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'[7]ajur'!$K$371</f>
        <v>0</v>
      </c>
      <c r="D21" s="317">
        <f>'[5]ajur'!$K$368</f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67087</v>
      </c>
      <c r="D22" s="626">
        <f>SUM(D12:D18)+D19</f>
        <v>62743</v>
      </c>
      <c r="E22" s="194" t="s">
        <v>309</v>
      </c>
      <c r="F22" s="237" t="s">
        <v>310</v>
      </c>
      <c r="G22" s="316">
        <f>ROUND('[7]NoteP&amp;L'!$C$75/1000,0)</f>
        <v>1</v>
      </c>
      <c r="H22" s="317">
        <f>'[8]NoteP&amp;L'!$C$80/1000</f>
        <v>0.48825999999999997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-ROUND(SUM('[7]NoteP&amp;L'!$C$82:$C$86)/1000,0)</f>
        <v>2263</v>
      </c>
      <c r="D25" s="316">
        <f>-ROUND(SUM('[8]NoteP&amp;L'!$C$82:$C$86)/1000,0)</f>
        <v>2694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ROUND('[7]NoteP&amp;L'!$C$77/1000,0)</f>
        <v>0</v>
      </c>
      <c r="H26" s="317"/>
    </row>
    <row r="27" spans="1:8" ht="31.5">
      <c r="A27" s="194" t="s">
        <v>324</v>
      </c>
      <c r="B27" s="237" t="s">
        <v>325</v>
      </c>
      <c r="C27" s="316">
        <f>-ROUND('[7]NoteP&amp;L'!$C$90/1000,0)</f>
        <v>27</v>
      </c>
      <c r="D27" s="316">
        <f>-ROUND('[8]NoteP&amp;L'!$C$90/1000,0)</f>
        <v>9</v>
      </c>
      <c r="E27" s="236" t="s">
        <v>104</v>
      </c>
      <c r="F27" s="238" t="s">
        <v>326</v>
      </c>
      <c r="G27" s="625">
        <f>SUM(G22:G26)</f>
        <v>1</v>
      </c>
      <c r="H27" s="626">
        <f>SUM(H22:H26)</f>
        <v>0.48825999999999997</v>
      </c>
    </row>
    <row r="28" spans="1:8" ht="15.75">
      <c r="A28" s="194" t="s">
        <v>79</v>
      </c>
      <c r="B28" s="237" t="s">
        <v>327</v>
      </c>
      <c r="C28" s="316">
        <f>-ROUND(('[7]NoteP&amp;L'!$C$87+'[7]NoteP&amp;L'!$C$88+'[7]NoteP&amp;L'!$C$89)/1000,0)-1</f>
        <v>468</v>
      </c>
      <c r="D28" s="316">
        <f>-ROUND(('[8]NoteP&amp;L'!$C$87+'[8]NoteP&amp;L'!$C$88+'[8]NoteP&amp;L'!$C$89)/1000,0)</f>
        <v>644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2758</v>
      </c>
      <c r="D29" s="626">
        <f>SUM(D25:D28)</f>
        <v>3347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69845</v>
      </c>
      <c r="D31" s="632">
        <f>D29+D22</f>
        <v>66090</v>
      </c>
      <c r="E31" s="251" t="s">
        <v>824</v>
      </c>
      <c r="F31" s="266" t="s">
        <v>331</v>
      </c>
      <c r="G31" s="253">
        <f>G16+G18+G27</f>
        <v>86355</v>
      </c>
      <c r="H31" s="254">
        <f>H16+H18+H27</f>
        <v>78558.48826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16510</v>
      </c>
      <c r="D33" s="244">
        <f>IF((H31-D31)&gt;0,H31-D31,0)</f>
        <v>12468.488259999998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69845</v>
      </c>
      <c r="D36" s="634">
        <f>D31-D34+D35</f>
        <v>66090</v>
      </c>
      <c r="E36" s="262" t="s">
        <v>346</v>
      </c>
      <c r="F36" s="256" t="s">
        <v>347</v>
      </c>
      <c r="G36" s="267">
        <f>G35-G34+G31</f>
        <v>86355</v>
      </c>
      <c r="H36" s="268">
        <f>H35-H34+H31</f>
        <v>78558.48826</v>
      </c>
    </row>
    <row r="37" spans="1:8" ht="15.75">
      <c r="A37" s="261" t="s">
        <v>348</v>
      </c>
      <c r="B37" s="231" t="s">
        <v>349</v>
      </c>
      <c r="C37" s="631">
        <f>IF((G36-C36)&gt;0,G36-C36,0)</f>
        <v>16510</v>
      </c>
      <c r="D37" s="632">
        <f>IF((H36-D36)&gt;0,H36-D36,0)</f>
        <v>12468.488259999998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1658.906614607405</v>
      </c>
      <c r="D38" s="626">
        <f>D39+D40+D41</f>
        <v>1274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'[7]IAS'!$F$113/1000</f>
        <v>1184.5643107934686</v>
      </c>
      <c r="D39" s="317">
        <f>ROUND('[8]IAS'!$F$113/1000,)</f>
        <v>1439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'[7]IAS'!$F$115/1000</f>
        <v>474.3423038139362</v>
      </c>
      <c r="D40" s="317">
        <f>ROUND('[8]IAS'!$F$115/1000,0)</f>
        <v>-165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14851.093385392594</v>
      </c>
      <c r="D42" s="244">
        <f>+IF((H36-D36-D38)&gt;0,H36-D36-D38,0)</f>
        <v>11194.488259999998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14851.093385392594</v>
      </c>
      <c r="D44" s="268">
        <f>IF(H42=0,IF(D42-D43&gt;0,D42-D43+H43,0),IF(H42-H43&lt;0,H43-H42+D42,0))</f>
        <v>11194.488259999998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86355</v>
      </c>
      <c r="D45" s="628">
        <f>D36+D38+D42</f>
        <v>78558.48826</v>
      </c>
      <c r="E45" s="270" t="s">
        <v>373</v>
      </c>
      <c r="F45" s="272" t="s">
        <v>374</v>
      </c>
      <c r="G45" s="627">
        <f>G42+G36</f>
        <v>86355</v>
      </c>
      <c r="H45" s="628">
        <f>H42+H36</f>
        <v>78558.48826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2" t="s">
        <v>978</v>
      </c>
      <c r="B47" s="712"/>
      <c r="C47" s="712"/>
      <c r="D47" s="712"/>
      <c r="E47" s="712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09">
        <f>pdeReportingDate</f>
        <v>42941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0" t="str">
        <f>authorName</f>
        <v>Анелия Илиева Илиева</v>
      </c>
      <c r="C52" s="710"/>
      <c r="D52" s="710"/>
      <c r="E52" s="710"/>
      <c r="F52" s="710"/>
      <c r="G52" s="710"/>
      <c r="H52" s="71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3"/>
      <c r="B55" s="707" t="str">
        <f>'1-Баланс'!B103:E103</f>
        <v>Арно Филип Франсоа Валто де Мулиак </v>
      </c>
      <c r="C55" s="707"/>
      <c r="D55" s="707"/>
      <c r="E55" s="707"/>
      <c r="F55" s="571"/>
      <c r="G55" s="45"/>
      <c r="H55" s="42"/>
    </row>
    <row r="56" spans="1:8" ht="15.75" customHeight="1">
      <c r="A56" s="693"/>
      <c r="B56" s="707" t="s">
        <v>979</v>
      </c>
      <c r="C56" s="707"/>
      <c r="D56" s="707"/>
      <c r="E56" s="707"/>
      <c r="F56" s="571"/>
      <c r="G56" s="45"/>
      <c r="H56" s="42"/>
    </row>
    <row r="57" spans="1:8" ht="15.75" customHeight="1">
      <c r="A57" s="693"/>
      <c r="B57" s="707" t="s">
        <v>979</v>
      </c>
      <c r="C57" s="707"/>
      <c r="D57" s="707"/>
      <c r="E57" s="707"/>
      <c r="F57" s="571"/>
      <c r="G57" s="45"/>
      <c r="H57" s="42"/>
    </row>
    <row r="58" spans="1:8" ht="15.75" customHeight="1">
      <c r="A58" s="693"/>
      <c r="B58" s="707" t="s">
        <v>979</v>
      </c>
      <c r="C58" s="707"/>
      <c r="D58" s="707"/>
      <c r="E58" s="707"/>
      <c r="F58" s="571"/>
      <c r="G58" s="45"/>
      <c r="H58" s="42"/>
    </row>
    <row r="59" spans="1:8" ht="15.75">
      <c r="A59" s="693"/>
      <c r="B59" s="707"/>
      <c r="C59" s="707"/>
      <c r="D59" s="707"/>
      <c r="E59" s="707"/>
      <c r="F59" s="571"/>
      <c r="G59" s="45"/>
      <c r="H59" s="42"/>
    </row>
    <row r="60" spans="1:8" ht="15.75">
      <c r="A60" s="693"/>
      <c r="B60" s="707"/>
      <c r="C60" s="707"/>
      <c r="D60" s="707"/>
      <c r="E60" s="707"/>
      <c r="F60" s="571"/>
      <c r="G60" s="45"/>
      <c r="H60" s="42"/>
    </row>
    <row r="61" spans="1:8" ht="15.75">
      <c r="A61" s="693"/>
      <c r="B61" s="707"/>
      <c r="C61" s="707"/>
      <c r="D61" s="707"/>
      <c r="E61" s="707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8">
      <selection activeCell="D24" sqref="D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ROUND('[6]Cash Flow LBE 2016'!$Q$12,0)</f>
        <v>78176</v>
      </c>
      <c r="D11" s="196">
        <f>ROUND('[6]Cash Flow LBE 2016'!$O$12,0)</f>
        <v>73074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ROUND('[6]Cash Flow LBE 2016'!$Q$14,0)</f>
        <v>-14409</v>
      </c>
      <c r="D14" s="196">
        <f>ROUND('[6]Cash Flow LBE 2016'!$O$14,0)</f>
        <v>-13371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ROUND('[6]Cash Flow LBE 2016'!$Q$37+'[6]Cash Flow LBE 2016'!$Q$38,0)</f>
        <v>-6816</v>
      </c>
      <c r="D15" s="196">
        <f>ROUND('[6]Cash Flow LBE 2016'!$O$37+'[6]Cash Flow LBE 2016'!$O$38,0)</f>
        <v>-6185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ROUND('[6]Cash Flow LBE 2016'!$Q$36,0)</f>
        <v>-1916</v>
      </c>
      <c r="D16" s="196">
        <f>ROUND('[6]Cash Flow LBE 2016'!$O$36,0)</f>
        <v>-2289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ROUND(SUM('[6]Cash Flow LBE 2016'!$Q$15:$Q$22)+'[6]Cash Flow LBE 2016'!$Q$30,0)</f>
        <v>-28550</v>
      </c>
      <c r="D20" s="196">
        <f>ROUND(SUM('[6]Cash Flow LBE 2016'!$O$15:$O$22)+'[6]Cash Flow LBE 2016'!$O$30,0)</f>
        <v>-27300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26485</v>
      </c>
      <c r="D21" s="656">
        <f>SUM(D11:D20)</f>
        <v>23929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ROUND('[6]Cash Flow LBE 2016'!$Q$34,0)</f>
        <v>-10362</v>
      </c>
      <c r="D23" s="196">
        <f>ROUND('[6]Cash Flow LBE 2016'!$O$34,0)</f>
        <v>-12388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-10362</v>
      </c>
      <c r="D33" s="656">
        <f>SUM(D23:D32)</f>
        <v>-12388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ROUND('[6]Cash Flow LBE 2016'!$Q$47,0)</f>
        <v>-4532</v>
      </c>
      <c r="D38" s="196">
        <f>ROUND('[6]Cash Flow LBE 2016'!$O$47,0)</f>
        <v>-4532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ROUND('[6]Cash Flow LBE 2016'!$Q$44,0)</f>
        <v>-1339</v>
      </c>
      <c r="D39" s="196">
        <f>ROUND('[6]Cash Flow LBE 2016'!$O$44,0)</f>
        <v>-773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ROUND('[6]Cash Flow LBE 2016'!$Q$41+'[6]Cash Flow LBE 2016'!$Q$42,0)</f>
        <v>-1969</v>
      </c>
      <c r="D40" s="196">
        <f>ROUND('[6]Cash Flow LBE 2016'!$O$41+'[6]Cash Flow LBE 2016'!$O$42,0)</f>
        <v>-2427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ROUND('[6]Cash Flow LBE 2016'!$Q$43,0)</f>
        <v>35</v>
      </c>
      <c r="D42" s="196">
        <f>ROUND('[6]Cash Flow LBE 2016'!$O$43,0)</f>
        <v>72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-7805</v>
      </c>
      <c r="D43" s="658">
        <f>SUM(D35:D42)</f>
        <v>-7660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8318</v>
      </c>
      <c r="D44" s="307">
        <f>D43+D33+D21</f>
        <v>3881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'[3]Cash Flow LBE 2016'!$Q$51</f>
        <v>17219.387567999995</v>
      </c>
      <c r="D45" s="309">
        <f>'[3]Cash Flow LBE 2016'!$O$51</f>
        <v>16818.206090580003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25537.387567999995</v>
      </c>
      <c r="D46" s="311">
        <f>D45+D44</f>
        <v>20699.206090580003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25537.387567999995</v>
      </c>
      <c r="D47" s="298">
        <f>D46</f>
        <v>20699.206090580003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465</f>
        <v>465</v>
      </c>
      <c r="D48" s="281">
        <v>225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9">
        <f>pdeReportingDate</f>
        <v>42941</v>
      </c>
      <c r="C54" s="709"/>
      <c r="D54" s="709"/>
      <c r="E54" s="709"/>
      <c r="F54" s="694"/>
      <c r="G54" s="694"/>
      <c r="H54" s="694"/>
      <c r="M54" s="98"/>
    </row>
    <row r="55" spans="1:13" s="42" customFormat="1" ht="15.75">
      <c r="A55" s="691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2" t="s">
        <v>8</v>
      </c>
      <c r="B56" s="710" t="str">
        <f>authorName</f>
        <v>Анелия Илиева Илиева</v>
      </c>
      <c r="C56" s="710"/>
      <c r="D56" s="710"/>
      <c r="E56" s="710"/>
      <c r="F56" s="80"/>
      <c r="G56" s="80"/>
      <c r="H56" s="80"/>
    </row>
    <row r="57" spans="1:8" s="42" customFormat="1" ht="15.75">
      <c r="A57" s="692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2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3"/>
      <c r="B59" s="707" t="str">
        <f>'2-Отчет за доходите'!B55:E55</f>
        <v>Арно Филип Франсоа Валто де Мулиак </v>
      </c>
      <c r="C59" s="707"/>
      <c r="D59" s="707"/>
      <c r="E59" s="707"/>
      <c r="F59" s="571"/>
      <c r="G59" s="45"/>
      <c r="H59" s="42"/>
    </row>
    <row r="60" spans="1:8" ht="15.75">
      <c r="A60" s="693"/>
      <c r="B60" s="707" t="s">
        <v>979</v>
      </c>
      <c r="C60" s="707"/>
      <c r="D60" s="707"/>
      <c r="E60" s="707"/>
      <c r="F60" s="571"/>
      <c r="G60" s="45"/>
      <c r="H60" s="42"/>
    </row>
    <row r="61" spans="1:8" ht="15.75">
      <c r="A61" s="693"/>
      <c r="B61" s="707" t="s">
        <v>979</v>
      </c>
      <c r="C61" s="707"/>
      <c r="D61" s="707"/>
      <c r="E61" s="707"/>
      <c r="F61" s="571"/>
      <c r="G61" s="45"/>
      <c r="H61" s="42"/>
    </row>
    <row r="62" spans="1:8" ht="15.75">
      <c r="A62" s="693"/>
      <c r="B62" s="707" t="s">
        <v>979</v>
      </c>
      <c r="C62" s="707"/>
      <c r="D62" s="707"/>
      <c r="E62" s="707"/>
      <c r="F62" s="571"/>
      <c r="G62" s="45"/>
      <c r="H62" s="42"/>
    </row>
    <row r="63" spans="1:8" ht="15.75">
      <c r="A63" s="693"/>
      <c r="B63" s="708"/>
      <c r="C63" s="707"/>
      <c r="D63" s="707"/>
      <c r="E63" s="707"/>
      <c r="F63" s="571"/>
      <c r="G63" s="45"/>
      <c r="H63" s="42"/>
    </row>
    <row r="64" spans="1:8" ht="15.75">
      <c r="A64" s="693"/>
      <c r="B64" s="708"/>
      <c r="C64" s="707"/>
      <c r="D64" s="707"/>
      <c r="E64" s="707"/>
      <c r="F64" s="571"/>
      <c r="G64" s="45"/>
      <c r="H64" s="42"/>
    </row>
    <row r="65" spans="1:8" ht="15.75">
      <c r="A65" s="693"/>
      <c r="B65" s="707"/>
      <c r="C65" s="707"/>
      <c r="D65" s="707"/>
      <c r="E65" s="707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F24" sqref="F24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18" t="s">
        <v>453</v>
      </c>
      <c r="B8" s="721" t="s">
        <v>454</v>
      </c>
      <c r="C8" s="714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4" t="s">
        <v>460</v>
      </c>
      <c r="L8" s="714" t="s">
        <v>461</v>
      </c>
      <c r="M8" s="528"/>
      <c r="N8" s="529"/>
    </row>
    <row r="9" spans="1:14" s="530" customFormat="1" ht="31.5">
      <c r="A9" s="719"/>
      <c r="B9" s="722"/>
      <c r="C9" s="715"/>
      <c r="D9" s="717" t="s">
        <v>826</v>
      </c>
      <c r="E9" s="717" t="s">
        <v>456</v>
      </c>
      <c r="F9" s="532" t="s">
        <v>457</v>
      </c>
      <c r="G9" s="532"/>
      <c r="H9" s="532"/>
      <c r="I9" s="724" t="s">
        <v>458</v>
      </c>
      <c r="J9" s="724" t="s">
        <v>459</v>
      </c>
      <c r="K9" s="715"/>
      <c r="L9" s="715"/>
      <c r="M9" s="533" t="s">
        <v>825</v>
      </c>
      <c r="N9" s="529"/>
    </row>
    <row r="10" spans="1:14" s="530" customFormat="1" ht="31.5">
      <c r="A10" s="720"/>
      <c r="B10" s="723"/>
      <c r="C10" s="716"/>
      <c r="D10" s="717"/>
      <c r="E10" s="717"/>
      <c r="F10" s="531" t="s">
        <v>462</v>
      </c>
      <c r="G10" s="531" t="s">
        <v>463</v>
      </c>
      <c r="H10" s="531" t="s">
        <v>464</v>
      </c>
      <c r="I10" s="716"/>
      <c r="J10" s="716"/>
      <c r="K10" s="716"/>
      <c r="L10" s="716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-309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185919</v>
      </c>
      <c r="J13" s="581">
        <f>'1-Баланс'!H30+'1-Баланс'!H33</f>
        <v>0</v>
      </c>
      <c r="K13" s="582"/>
      <c r="L13" s="581">
        <f>SUM(C13:K13)</f>
        <v>205268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-309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185919</v>
      </c>
      <c r="J17" s="650">
        <f t="shared" si="2"/>
        <v>0</v>
      </c>
      <c r="K17" s="650">
        <f t="shared" si="2"/>
        <v>0</v>
      </c>
      <c r="L17" s="581">
        <f t="shared" si="1"/>
        <v>205268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14851</v>
      </c>
      <c r="J18" s="581">
        <f>+'1-Баланс'!G33</f>
        <v>0</v>
      </c>
      <c r="K18" s="582"/>
      <c r="L18" s="581">
        <f t="shared" si="1"/>
        <v>14851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-309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200770</v>
      </c>
      <c r="J31" s="650">
        <f t="shared" si="6"/>
        <v>0</v>
      </c>
      <c r="K31" s="650">
        <f t="shared" si="6"/>
        <v>0</v>
      </c>
      <c r="L31" s="581">
        <f t="shared" si="1"/>
        <v>220119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-309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200770</v>
      </c>
      <c r="J34" s="584">
        <f t="shared" si="7"/>
        <v>0</v>
      </c>
      <c r="K34" s="584">
        <f t="shared" si="7"/>
        <v>0</v>
      </c>
      <c r="L34" s="648">
        <f t="shared" si="1"/>
        <v>220119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09">
        <f>pdeReportingDate</f>
        <v>42941</v>
      </c>
      <c r="C38" s="709"/>
      <c r="D38" s="709"/>
      <c r="E38" s="709"/>
      <c r="F38" s="709"/>
      <c r="G38" s="709"/>
      <c r="H38" s="70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0" t="str">
        <f>authorName</f>
        <v>Анелия Илиева Илиева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3"/>
      <c r="B43" s="707" t="str">
        <f>'3-Отчет за паричния поток'!B59:E59</f>
        <v>Арно Филип Франсоа Валто де Мулиак </v>
      </c>
      <c r="C43" s="707"/>
      <c r="D43" s="707"/>
      <c r="E43" s="707"/>
      <c r="F43" s="571"/>
      <c r="G43" s="45"/>
      <c r="H43" s="42"/>
      <c r="M43" s="169"/>
    </row>
    <row r="44" spans="1:13" ht="15.75">
      <c r="A44" s="693"/>
      <c r="B44" s="707" t="s">
        <v>979</v>
      </c>
      <c r="C44" s="707"/>
      <c r="D44" s="707"/>
      <c r="E44" s="707"/>
      <c r="F44" s="571"/>
      <c r="G44" s="45"/>
      <c r="H44" s="42"/>
      <c r="M44" s="169"/>
    </row>
    <row r="45" spans="1:13" ht="15.75">
      <c r="A45" s="693"/>
      <c r="B45" s="707" t="s">
        <v>979</v>
      </c>
      <c r="C45" s="707"/>
      <c r="D45" s="707"/>
      <c r="E45" s="707"/>
      <c r="F45" s="571"/>
      <c r="G45" s="45"/>
      <c r="H45" s="42"/>
      <c r="M45" s="169"/>
    </row>
    <row r="46" spans="1:13" ht="15.75">
      <c r="A46" s="693"/>
      <c r="B46" s="707" t="s">
        <v>979</v>
      </c>
      <c r="C46" s="707"/>
      <c r="D46" s="707"/>
      <c r="E46" s="707"/>
      <c r="F46" s="571"/>
      <c r="G46" s="45"/>
      <c r="H46" s="42"/>
      <c r="M46" s="169"/>
    </row>
    <row r="47" spans="1:13" ht="15.75">
      <c r="A47" s="693"/>
      <c r="B47" s="707"/>
      <c r="C47" s="707"/>
      <c r="D47" s="707"/>
      <c r="E47" s="707"/>
      <c r="F47" s="571"/>
      <c r="G47" s="45"/>
      <c r="H47" s="42"/>
      <c r="M47" s="169"/>
    </row>
    <row r="48" spans="1:13" ht="15.75">
      <c r="A48" s="693"/>
      <c r="B48" s="707"/>
      <c r="C48" s="707"/>
      <c r="D48" s="707"/>
      <c r="E48" s="707"/>
      <c r="F48" s="571"/>
      <c r="G48" s="45"/>
      <c r="H48" s="42"/>
      <c r="M48" s="169"/>
    </row>
    <row r="49" spans="1:13" ht="15.75">
      <c r="A49" s="693"/>
      <c r="B49" s="707"/>
      <c r="C49" s="707"/>
      <c r="D49" s="707"/>
      <c r="E49" s="707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8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1000</v>
      </c>
      <c r="B12" s="677" t="s">
        <v>109</v>
      </c>
      <c r="C12" s="92">
        <v>5</v>
      </c>
      <c r="D12" s="92" t="s">
        <v>1001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09">
        <f>pdeReportingDate</f>
        <v>42941</v>
      </c>
      <c r="C151" s="709"/>
      <c r="D151" s="709"/>
      <c r="E151" s="709"/>
      <c r="F151" s="709"/>
      <c r="G151" s="709"/>
      <c r="H151" s="70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0" t="str">
        <f>authorName</f>
        <v>Анелия Илиева Илиева</v>
      </c>
      <c r="C153" s="710"/>
      <c r="D153" s="710"/>
      <c r="E153" s="710"/>
      <c r="F153" s="710"/>
      <c r="G153" s="710"/>
      <c r="H153" s="71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3"/>
      <c r="B156" s="707" t="str">
        <f>'4-Отчет за собствения капитал'!B43:E43</f>
        <v>Арно Филип Франсоа Валто де Мулиак </v>
      </c>
      <c r="C156" s="707"/>
      <c r="D156" s="707"/>
      <c r="E156" s="707"/>
      <c r="F156" s="571"/>
      <c r="G156" s="45"/>
      <c r="H156" s="42"/>
    </row>
    <row r="157" spans="1:8" ht="15.75">
      <c r="A157" s="693"/>
      <c r="B157" s="707" t="s">
        <v>979</v>
      </c>
      <c r="C157" s="707"/>
      <c r="D157" s="707"/>
      <c r="E157" s="707"/>
      <c r="F157" s="571"/>
      <c r="G157" s="45"/>
      <c r="H157" s="42"/>
    </row>
    <row r="158" spans="1:8" ht="15.75">
      <c r="A158" s="693"/>
      <c r="B158" s="707" t="s">
        <v>979</v>
      </c>
      <c r="C158" s="707"/>
      <c r="D158" s="707"/>
      <c r="E158" s="707"/>
      <c r="F158" s="571"/>
      <c r="G158" s="45"/>
      <c r="H158" s="42"/>
    </row>
    <row r="159" spans="1:8" ht="15.75">
      <c r="A159" s="693"/>
      <c r="B159" s="707" t="s">
        <v>979</v>
      </c>
      <c r="C159" s="707"/>
      <c r="D159" s="707"/>
      <c r="E159" s="707"/>
      <c r="F159" s="571"/>
      <c r="G159" s="45"/>
      <c r="H159" s="42"/>
    </row>
    <row r="160" spans="1:8" ht="15.75">
      <c r="A160" s="693"/>
      <c r="B160" s="707"/>
      <c r="C160" s="707"/>
      <c r="D160" s="707"/>
      <c r="E160" s="707"/>
      <c r="F160" s="571"/>
      <c r="G160" s="45"/>
      <c r="H160" s="42"/>
    </row>
    <row r="161" spans="1:8" ht="15.75">
      <c r="A161" s="693"/>
      <c r="B161" s="707"/>
      <c r="C161" s="707"/>
      <c r="D161" s="707"/>
      <c r="E161" s="707"/>
      <c r="F161" s="571"/>
      <c r="G161" s="45"/>
      <c r="H161" s="42"/>
    </row>
    <row r="162" spans="1:8" ht="15.75">
      <c r="A162" s="693"/>
      <c r="B162" s="707"/>
      <c r="C162" s="707"/>
      <c r="D162" s="707"/>
      <c r="E162" s="707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C1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525</v>
      </c>
      <c r="E12" s="698">
        <v>0</v>
      </c>
      <c r="F12" s="698">
        <v>0</v>
      </c>
      <c r="G12" s="699">
        <f aca="true" t="shared" si="2" ref="G12:G41">D12+E12-F12</f>
        <v>525</v>
      </c>
      <c r="H12" s="328"/>
      <c r="I12" s="328"/>
      <c r="J12" s="699">
        <f aca="true" t="shared" si="3" ref="J12:J26">G12+H12-I12</f>
        <v>525</v>
      </c>
      <c r="K12" s="698">
        <v>195</v>
      </c>
      <c r="L12" s="698">
        <v>10</v>
      </c>
      <c r="M12" s="698">
        <v>0</v>
      </c>
      <c r="N12" s="699">
        <f aca="true" t="shared" si="4" ref="N12:N41">K12+L12-M12</f>
        <v>205</v>
      </c>
      <c r="O12" s="328"/>
      <c r="P12" s="328"/>
      <c r="Q12" s="699">
        <f t="shared" si="0"/>
        <v>205</v>
      </c>
      <c r="R12" s="701">
        <f t="shared" si="1"/>
        <v>320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29666</v>
      </c>
      <c r="E13" s="698">
        <v>636</v>
      </c>
      <c r="F13" s="698">
        <v>28</v>
      </c>
      <c r="G13" s="699">
        <f t="shared" si="2"/>
        <v>30274</v>
      </c>
      <c r="H13" s="328"/>
      <c r="I13" s="328"/>
      <c r="J13" s="699">
        <f t="shared" si="3"/>
        <v>30274</v>
      </c>
      <c r="K13" s="698">
        <v>19257</v>
      </c>
      <c r="L13" s="698">
        <v>1209</v>
      </c>
      <c r="M13" s="698">
        <v>23.93947</v>
      </c>
      <c r="N13" s="699">
        <f t="shared" si="4"/>
        <v>20442.06053</v>
      </c>
      <c r="O13" s="328"/>
      <c r="P13" s="328"/>
      <c r="Q13" s="699">
        <f t="shared" si="0"/>
        <v>20442.06053</v>
      </c>
      <c r="R13" s="701">
        <f t="shared" si="1"/>
        <v>9831.939470000001</v>
      </c>
    </row>
    <row r="14" spans="1:18" ht="15.75">
      <c r="A14" s="337" t="s">
        <v>530</v>
      </c>
      <c r="B14" s="321" t="s">
        <v>531</v>
      </c>
      <c r="C14" s="152" t="s">
        <v>532</v>
      </c>
      <c r="D14" s="698"/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/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14945</v>
      </c>
      <c r="E15" s="698">
        <v>196</v>
      </c>
      <c r="F15" s="698">
        <v>524</v>
      </c>
      <c r="G15" s="699">
        <f t="shared" si="2"/>
        <v>14617</v>
      </c>
      <c r="H15" s="328"/>
      <c r="I15" s="328"/>
      <c r="J15" s="699">
        <f t="shared" si="3"/>
        <v>14617</v>
      </c>
      <c r="K15" s="698">
        <v>8932</v>
      </c>
      <c r="L15" s="698">
        <v>677</v>
      </c>
      <c r="M15" s="698">
        <v>523</v>
      </c>
      <c r="N15" s="699">
        <f t="shared" si="4"/>
        <v>9086</v>
      </c>
      <c r="O15" s="328"/>
      <c r="P15" s="328"/>
      <c r="Q15" s="699">
        <f t="shared" si="0"/>
        <v>9086</v>
      </c>
      <c r="R15" s="701">
        <f t="shared" si="1"/>
        <v>5531</v>
      </c>
    </row>
    <row r="16" spans="1:18" ht="15.75">
      <c r="A16" s="358" t="s">
        <v>838</v>
      </c>
      <c r="B16" s="321" t="s">
        <v>536</v>
      </c>
      <c r="C16" s="152" t="s">
        <v>537</v>
      </c>
      <c r="D16" s="698"/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/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1018</v>
      </c>
      <c r="F17" s="698">
        <v>865</v>
      </c>
      <c r="G17" s="699">
        <f t="shared" si="2"/>
        <v>153</v>
      </c>
      <c r="H17" s="328"/>
      <c r="I17" s="328"/>
      <c r="J17" s="699">
        <f t="shared" si="3"/>
        <v>153</v>
      </c>
      <c r="K17" s="698"/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153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1185</v>
      </c>
      <c r="E18" s="698">
        <v>33</v>
      </c>
      <c r="F18" s="698">
        <v>0</v>
      </c>
      <c r="G18" s="699">
        <f t="shared" si="2"/>
        <v>1218</v>
      </c>
      <c r="H18" s="328"/>
      <c r="I18" s="328"/>
      <c r="J18" s="699">
        <f t="shared" si="3"/>
        <v>1218</v>
      </c>
      <c r="K18" s="698">
        <v>1060.77542</v>
      </c>
      <c r="L18" s="698">
        <v>16</v>
      </c>
      <c r="M18" s="698">
        <v>0</v>
      </c>
      <c r="N18" s="699">
        <f t="shared" si="4"/>
        <v>1076.77542</v>
      </c>
      <c r="O18" s="328"/>
      <c r="P18" s="328"/>
      <c r="Q18" s="699">
        <f t="shared" si="0"/>
        <v>1076.77542</v>
      </c>
      <c r="R18" s="701">
        <f t="shared" si="1"/>
        <v>141.22458000000006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46506</v>
      </c>
      <c r="E19" s="700">
        <f>SUM(E11:E18)</f>
        <v>1883</v>
      </c>
      <c r="F19" s="700">
        <f>SUM(F11:F18)</f>
        <v>1417</v>
      </c>
      <c r="G19" s="703">
        <f t="shared" si="2"/>
        <v>46972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46972</v>
      </c>
      <c r="K19" s="700">
        <f>SUM(K11:K18)</f>
        <v>29444.775419999998</v>
      </c>
      <c r="L19" s="700">
        <f>SUM(L11:L18)</f>
        <v>1912</v>
      </c>
      <c r="M19" s="700">
        <f>SUM(M11:M18)</f>
        <v>546.93947</v>
      </c>
      <c r="N19" s="703">
        <f t="shared" si="4"/>
        <v>30809.835949999997</v>
      </c>
      <c r="O19" s="330">
        <f>SUM(O11:O18)</f>
        <v>0</v>
      </c>
      <c r="P19" s="330">
        <f>SUM(P11:P18)</f>
        <v>0</v>
      </c>
      <c r="Q19" s="703">
        <f t="shared" si="0"/>
        <v>30809.835949999997</v>
      </c>
      <c r="R19" s="704">
        <f t="shared" si="1"/>
        <v>16162.164050000003</v>
      </c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20085</v>
      </c>
      <c r="E24" s="698">
        <v>30</v>
      </c>
      <c r="F24" s="698"/>
      <c r="G24" s="699">
        <f t="shared" si="2"/>
        <v>20115</v>
      </c>
      <c r="H24" s="698"/>
      <c r="I24" s="698"/>
      <c r="J24" s="699">
        <f t="shared" si="3"/>
        <v>20115</v>
      </c>
      <c r="K24" s="698">
        <v>15303</v>
      </c>
      <c r="L24" s="698">
        <v>332</v>
      </c>
      <c r="M24" s="698"/>
      <c r="N24" s="699">
        <f t="shared" si="4"/>
        <v>15635</v>
      </c>
      <c r="O24" s="698"/>
      <c r="P24" s="698"/>
      <c r="Q24" s="699">
        <f t="shared" si="0"/>
        <v>15635</v>
      </c>
      <c r="R24" s="701">
        <f t="shared" si="1"/>
        <v>4480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</v>
      </c>
      <c r="L25" s="698">
        <v>0.24564</v>
      </c>
      <c r="M25" s="698"/>
      <c r="N25" s="699">
        <f t="shared" si="4"/>
        <v>21037.24564</v>
      </c>
      <c r="O25" s="698"/>
      <c r="P25" s="698"/>
      <c r="Q25" s="699">
        <f t="shared" si="0"/>
        <v>21037.24564</v>
      </c>
      <c r="R25" s="701">
        <f t="shared" si="1"/>
        <v>3.7543599999989965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462869</v>
      </c>
      <c r="E26" s="698">
        <v>25973</v>
      </c>
      <c r="F26" s="698">
        <v>12889</v>
      </c>
      <c r="G26" s="699">
        <f t="shared" si="2"/>
        <v>475953</v>
      </c>
      <c r="H26" s="698"/>
      <c r="I26" s="698"/>
      <c r="J26" s="699">
        <f t="shared" si="3"/>
        <v>475953</v>
      </c>
      <c r="K26" s="698">
        <v>178978</v>
      </c>
      <c r="L26" s="698">
        <v>15706</v>
      </c>
      <c r="M26" s="698"/>
      <c r="N26" s="699">
        <f t="shared" si="4"/>
        <v>194684</v>
      </c>
      <c r="O26" s="698"/>
      <c r="P26" s="698"/>
      <c r="Q26" s="699">
        <f t="shared" si="0"/>
        <v>194684</v>
      </c>
      <c r="R26" s="701">
        <f t="shared" si="1"/>
        <v>281269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503995</v>
      </c>
      <c r="E27" s="702">
        <f>SUM(E24:E26)</f>
        <v>26003</v>
      </c>
      <c r="F27" s="702">
        <f>SUM(F24:F26)</f>
        <v>12889</v>
      </c>
      <c r="G27" s="705">
        <f t="shared" si="2"/>
        <v>517109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517109</v>
      </c>
      <c r="K27" s="702">
        <f>SUM(K24:K26)</f>
        <v>215318</v>
      </c>
      <c r="L27" s="702">
        <f>SUM(L24:L26)</f>
        <v>16038.24564</v>
      </c>
      <c r="M27" s="702">
        <f>SUM(M24:M26)</f>
        <v>0</v>
      </c>
      <c r="N27" s="705">
        <f t="shared" si="4"/>
        <v>231356.24564</v>
      </c>
      <c r="O27" s="702">
        <f t="shared" si="6"/>
        <v>0</v>
      </c>
      <c r="P27" s="702">
        <f t="shared" si="6"/>
        <v>0</v>
      </c>
      <c r="Q27" s="705">
        <f t="shared" si="0"/>
        <v>231356.24564</v>
      </c>
      <c r="R27" s="706">
        <f>SUM(R24:R26)</f>
        <v>285752.75436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557894</v>
      </c>
      <c r="E42" s="346">
        <f>E19+E20+E21+E27+E40+E41</f>
        <v>27886</v>
      </c>
      <c r="F42" s="346">
        <f aca="true" t="shared" si="12" ref="F42:R42">F19+F20+F21+F27+F40+F41</f>
        <v>14306</v>
      </c>
      <c r="G42" s="346">
        <f t="shared" si="12"/>
        <v>571474</v>
      </c>
      <c r="H42" s="346">
        <f t="shared" si="12"/>
        <v>0</v>
      </c>
      <c r="I42" s="346">
        <f t="shared" si="12"/>
        <v>0</v>
      </c>
      <c r="J42" s="346">
        <f t="shared" si="12"/>
        <v>571474</v>
      </c>
      <c r="K42" s="346">
        <f t="shared" si="12"/>
        <v>252155.77542</v>
      </c>
      <c r="L42" s="346">
        <f t="shared" si="12"/>
        <v>17950.24564</v>
      </c>
      <c r="M42" s="346">
        <f t="shared" si="12"/>
        <v>546.93947</v>
      </c>
      <c r="N42" s="346">
        <f t="shared" si="12"/>
        <v>269559.08159</v>
      </c>
      <c r="O42" s="346">
        <f t="shared" si="12"/>
        <v>0</v>
      </c>
      <c r="P42" s="346">
        <f t="shared" si="12"/>
        <v>0</v>
      </c>
      <c r="Q42" s="346">
        <f t="shared" si="12"/>
        <v>269559.08159</v>
      </c>
      <c r="R42" s="347">
        <f t="shared" si="12"/>
        <v>301914.91841000004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09">
        <f>pdeReportingDate</f>
        <v>42941</v>
      </c>
      <c r="D45" s="709"/>
      <c r="E45" s="709"/>
      <c r="F45" s="709"/>
      <c r="G45" s="709"/>
      <c r="H45" s="709"/>
      <c r="I45" s="709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10" t="str">
        <f>authorName</f>
        <v>Анелия Илиева Илиева</v>
      </c>
      <c r="D47" s="710"/>
      <c r="E47" s="710"/>
      <c r="F47" s="710"/>
      <c r="G47" s="710"/>
      <c r="H47" s="710"/>
      <c r="I47" s="71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3"/>
      <c r="C50" s="707" t="str">
        <f>'Справка 5'!B156</f>
        <v>Арно Филип Франсоа Валто де Мулиак </v>
      </c>
      <c r="D50" s="707"/>
      <c r="E50" s="707"/>
      <c r="F50" s="707"/>
      <c r="G50" s="571"/>
      <c r="H50" s="45"/>
      <c r="I50" s="42"/>
    </row>
    <row r="51" spans="2:9" ht="15.75">
      <c r="B51" s="693"/>
      <c r="C51" s="707" t="s">
        <v>979</v>
      </c>
      <c r="D51" s="707"/>
      <c r="E51" s="707"/>
      <c r="F51" s="707"/>
      <c r="G51" s="571"/>
      <c r="H51" s="45"/>
      <c r="I51" s="42"/>
    </row>
    <row r="52" spans="2:9" ht="15.75">
      <c r="B52" s="693"/>
      <c r="C52" s="707" t="s">
        <v>979</v>
      </c>
      <c r="D52" s="707"/>
      <c r="E52" s="707"/>
      <c r="F52" s="707"/>
      <c r="G52" s="571"/>
      <c r="H52" s="45"/>
      <c r="I52" s="42"/>
    </row>
    <row r="53" spans="2:9" ht="15.75">
      <c r="B53" s="693"/>
      <c r="C53" s="707" t="s">
        <v>979</v>
      </c>
      <c r="D53" s="707"/>
      <c r="E53" s="707"/>
      <c r="F53" s="707"/>
      <c r="G53" s="571"/>
      <c r="H53" s="45"/>
      <c r="I53" s="42"/>
    </row>
    <row r="54" spans="2:11" ht="15.75">
      <c r="B54" s="693"/>
      <c r="C54" s="707"/>
      <c r="D54" s="707"/>
      <c r="E54" s="707"/>
      <c r="F54" s="707"/>
      <c r="G54" s="571"/>
      <c r="H54" s="573"/>
      <c r="I54" s="42"/>
      <c r="K54" s="124"/>
    </row>
    <row r="55" spans="2:11" ht="15.75">
      <c r="B55" s="693"/>
      <c r="C55" s="707"/>
      <c r="D55" s="707"/>
      <c r="E55" s="707"/>
      <c r="F55" s="707"/>
      <c r="G55" s="571"/>
      <c r="H55" s="573"/>
      <c r="I55" s="42"/>
      <c r="K55" s="124"/>
    </row>
    <row r="56" spans="2:11" ht="15.75">
      <c r="B56" s="693"/>
      <c r="C56" s="707"/>
      <c r="D56" s="707"/>
      <c r="E56" s="707"/>
      <c r="F56" s="707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B119" sqref="B119:F1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9" t="s">
        <v>453</v>
      </c>
      <c r="B8" s="741" t="s">
        <v>11</v>
      </c>
      <c r="C8" s="737" t="s">
        <v>587</v>
      </c>
      <c r="D8" s="362" t="s">
        <v>588</v>
      </c>
      <c r="E8" s="363"/>
      <c r="F8" s="127"/>
    </row>
    <row r="9" spans="1:6" s="128" customFormat="1" ht="15.75">
      <c r="A9" s="740"/>
      <c r="B9" s="742"/>
      <c r="C9" s="738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220</v>
      </c>
      <c r="D18" s="359">
        <f>+D19+D20</f>
        <v>0</v>
      </c>
      <c r="E18" s="366">
        <f t="shared" si="0"/>
        <v>220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220</v>
      </c>
      <c r="D20" s="365"/>
      <c r="E20" s="366">
        <f t="shared" si="0"/>
        <v>220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220</v>
      </c>
      <c r="D21" s="437">
        <f>D13+D17+D18</f>
        <v>0</v>
      </c>
      <c r="E21" s="438">
        <f>E13+E17+E18</f>
        <v>220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6150</v>
      </c>
      <c r="D23" s="440"/>
      <c r="E23" s="439">
        <f t="shared" si="0"/>
        <v>6150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2</v>
      </c>
      <c r="D26" s="359">
        <f>SUM(D27:D29)</f>
        <v>2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2</v>
      </c>
      <c r="D29" s="365">
        <f>C29</f>
        <v>2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40485</v>
      </c>
      <c r="D30" s="365">
        <f>C30</f>
        <v>40485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289</v>
      </c>
      <c r="D35" s="359">
        <f>SUM(D36:D39)</f>
        <v>289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289</v>
      </c>
      <c r="D37" s="365">
        <f>C37</f>
        <v>289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40776</v>
      </c>
      <c r="D45" s="435">
        <f>D26+D30+D31+D33+D32+D34+D35+D40</f>
        <v>40776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47146</v>
      </c>
      <c r="D46" s="441">
        <f>D45+D23+D21+D11</f>
        <v>40776</v>
      </c>
      <c r="E46" s="442">
        <f>E45+E23+E21+E11</f>
        <v>6370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9" t="s">
        <v>453</v>
      </c>
      <c r="B50" s="741" t="s">
        <v>11</v>
      </c>
      <c r="C50" s="743" t="s">
        <v>658</v>
      </c>
      <c r="D50" s="362" t="s">
        <v>659</v>
      </c>
      <c r="E50" s="362"/>
      <c r="F50" s="745" t="s">
        <v>660</v>
      </c>
    </row>
    <row r="51" spans="1:6" s="128" customFormat="1" ht="18" customHeight="1">
      <c r="A51" s="740"/>
      <c r="B51" s="742"/>
      <c r="C51" s="744"/>
      <c r="D51" s="130" t="s">
        <v>589</v>
      </c>
      <c r="E51" s="130" t="s">
        <v>590</v>
      </c>
      <c r="F51" s="746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31353</v>
      </c>
      <c r="D58" s="138">
        <f>D59+D61</f>
        <v>8852</v>
      </c>
      <c r="E58" s="136">
        <f t="shared" si="1"/>
        <v>22501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f>ROUND('[7]loans_short_long'!$G$43/1000,0)</f>
        <v>31353</v>
      </c>
      <c r="D59" s="197">
        <f>ROUND('[7]loans_short_long'!$G$39/1000,0)</f>
        <v>8852</v>
      </c>
      <c r="E59" s="136">
        <f t="shared" si="1"/>
        <v>22501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'1-Баланс'!G49+'[7]BS_KPMG (2)'!$U$36+'[7]BS_KPMG (2)'!$U$44</f>
        <v>14503</v>
      </c>
      <c r="D66" s="197">
        <f>D67</f>
        <v>784</v>
      </c>
      <c r="E66" s="136">
        <f t="shared" si="1"/>
        <v>13719</v>
      </c>
      <c r="F66" s="196"/>
    </row>
    <row r="67" spans="1:6" ht="15.75">
      <c r="A67" s="367" t="s">
        <v>684</v>
      </c>
      <c r="B67" s="135" t="s">
        <v>685</v>
      </c>
      <c r="C67" s="197">
        <f>'[7]BS_KPMG (2)'!$U$36+'[7]BS_KPMG (2)'!$U$44</f>
        <v>2315</v>
      </c>
      <c r="D67" s="197">
        <f>'[7]BS_KPMG (2)'!$U$44</f>
        <v>784</v>
      </c>
      <c r="E67" s="136">
        <f t="shared" si="1"/>
        <v>1531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45856</v>
      </c>
      <c r="D68" s="432">
        <f>D54+D58+D63+D64+D65+D66</f>
        <v>9636</v>
      </c>
      <c r="E68" s="433">
        <f t="shared" si="1"/>
        <v>36220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75472</v>
      </c>
      <c r="D73" s="137">
        <f>SUM(D74:D76)</f>
        <v>75472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75472</v>
      </c>
      <c r="D76" s="197">
        <f>C76</f>
        <v>75472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26522</v>
      </c>
      <c r="D87" s="134">
        <f>SUM(D88:D92)+D96</f>
        <v>26522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20314</v>
      </c>
      <c r="D89" s="197">
        <f>C89</f>
        <v>20314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3799</v>
      </c>
      <c r="D91" s="197">
        <f>C91</f>
        <v>3799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1680</v>
      </c>
      <c r="D92" s="138">
        <f>SUM(D93:D95)</f>
        <v>1680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'1-Баланс'!G68</f>
        <v>1680</v>
      </c>
      <c r="D93" s="197">
        <f>C93</f>
        <v>1680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729</v>
      </c>
      <c r="D96" s="197">
        <f>C96</f>
        <v>729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5630</v>
      </c>
      <c r="D97" s="197">
        <f>C97</f>
        <v>5630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107624</v>
      </c>
      <c r="D98" s="430">
        <f>D87+D82+D77+D73+D97</f>
        <v>107624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153480</v>
      </c>
      <c r="D99" s="424">
        <f>D98+D70+D68</f>
        <v>117260</v>
      </c>
      <c r="E99" s="424">
        <f>E98+E70+E68</f>
        <v>36220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ROUND('[7]NoteBS'!$C$107,0)</f>
        <v>3157</v>
      </c>
      <c r="D104" s="216">
        <f>ROUND('[7]NoteBS'!$D$107,0)</f>
        <v>0</v>
      </c>
      <c r="E104" s="216">
        <f>ROUND(-'[7]NoteBS'!$E$107-'[7]NoteBS'!$F$107,0)</f>
        <v>11</v>
      </c>
      <c r="F104" s="418">
        <f>C104+D104-E104</f>
        <v>3146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>
        <f>ROUND(-'[4]FInst, loans'!$C$200,0)</f>
        <v>0</v>
      </c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3157</v>
      </c>
      <c r="D107" s="422">
        <f>SUM(D104:D106)</f>
        <v>0</v>
      </c>
      <c r="E107" s="422">
        <f>SUM(E104:E106)</f>
        <v>11</v>
      </c>
      <c r="F107" s="423">
        <f>SUM(F104:F106)</f>
        <v>3146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9">
        <f>pdeReportingDate</f>
        <v>42941</v>
      </c>
      <c r="C111" s="709"/>
      <c r="D111" s="709"/>
      <c r="E111" s="709"/>
      <c r="F111" s="709"/>
      <c r="G111" s="52"/>
      <c r="H111" s="52"/>
    </row>
    <row r="112" spans="1:8" ht="15.75">
      <c r="A112" s="691"/>
      <c r="B112" s="709"/>
      <c r="C112" s="709"/>
      <c r="D112" s="709"/>
      <c r="E112" s="709"/>
      <c r="F112" s="709"/>
      <c r="G112" s="52"/>
      <c r="H112" s="52"/>
    </row>
    <row r="113" spans="1:8" ht="15.75">
      <c r="A113" s="692" t="s">
        <v>8</v>
      </c>
      <c r="B113" s="710" t="str">
        <f>authorName</f>
        <v>Анелия Илиева Илиева</v>
      </c>
      <c r="C113" s="710"/>
      <c r="D113" s="710"/>
      <c r="E113" s="710"/>
      <c r="F113" s="710"/>
      <c r="G113" s="80"/>
      <c r="H113" s="80"/>
    </row>
    <row r="114" spans="1:8" ht="15.75">
      <c r="A114" s="692"/>
      <c r="B114" s="710"/>
      <c r="C114" s="710"/>
      <c r="D114" s="710"/>
      <c r="E114" s="710"/>
      <c r="F114" s="710"/>
      <c r="G114" s="80"/>
      <c r="H114" s="80"/>
    </row>
    <row r="115" spans="1:8" ht="15.75">
      <c r="A115" s="692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3"/>
      <c r="B116" s="707" t="str">
        <f>'Справка 6'!C50</f>
        <v>Арно Филип Франсоа Валто де Мулиак </v>
      </c>
      <c r="C116" s="707"/>
      <c r="D116" s="707"/>
      <c r="E116" s="707"/>
      <c r="F116" s="707"/>
      <c r="G116" s="693"/>
      <c r="H116" s="693"/>
    </row>
    <row r="117" spans="1:8" ht="15.75" customHeight="1">
      <c r="A117" s="693"/>
      <c r="B117" s="707" t="s">
        <v>979</v>
      </c>
      <c r="C117" s="707"/>
      <c r="D117" s="707"/>
      <c r="E117" s="707"/>
      <c r="F117" s="707"/>
      <c r="G117" s="693"/>
      <c r="H117" s="693"/>
    </row>
    <row r="118" spans="1:8" ht="15.75" customHeight="1">
      <c r="A118" s="693"/>
      <c r="B118" s="735"/>
      <c r="C118" s="707"/>
      <c r="D118" s="707"/>
      <c r="E118" s="707"/>
      <c r="F118" s="707"/>
      <c r="G118" s="693"/>
      <c r="H118" s="693"/>
    </row>
    <row r="119" spans="1:8" ht="15.75" customHeight="1">
      <c r="A119" s="693"/>
      <c r="B119" s="735"/>
      <c r="C119" s="707"/>
      <c r="D119" s="707"/>
      <c r="E119" s="707"/>
      <c r="F119" s="707"/>
      <c r="G119" s="693"/>
      <c r="H119" s="693"/>
    </row>
    <row r="120" spans="1:8" ht="15.75">
      <c r="A120" s="693"/>
      <c r="B120" s="735"/>
      <c r="C120" s="707"/>
      <c r="D120" s="707"/>
      <c r="E120" s="707"/>
      <c r="F120" s="707"/>
      <c r="G120" s="693"/>
      <c r="H120" s="693"/>
    </row>
    <row r="121" spans="1:8" ht="15.75">
      <c r="A121" s="693"/>
      <c r="B121" s="735"/>
      <c r="C121" s="707"/>
      <c r="D121" s="707"/>
      <c r="E121" s="707"/>
      <c r="F121" s="707"/>
      <c r="G121" s="693"/>
      <c r="H121" s="693"/>
    </row>
    <row r="122" spans="1:8" ht="15.75">
      <c r="A122" s="693"/>
      <c r="B122" s="707"/>
      <c r="C122" s="707"/>
      <c r="D122" s="707"/>
      <c r="E122" s="707"/>
      <c r="F122" s="707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52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48"/>
      <c r="B9" s="753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9" s="112" customFormat="1" ht="24" customHeight="1">
      <c r="A10" s="748"/>
      <c r="B10" s="753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09">
        <f>pdeReportingDate</f>
        <v>42941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1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2" t="s">
        <v>8</v>
      </c>
      <c r="B33" s="710" t="str">
        <f>authorName</f>
        <v>Анелия Илиева Илиева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2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2" t="s">
        <v>920</v>
      </c>
      <c r="B35" s="755"/>
      <c r="C35" s="755"/>
      <c r="D35" s="755"/>
      <c r="E35" s="755"/>
      <c r="F35" s="755"/>
      <c r="G35" s="755"/>
      <c r="H35" s="755"/>
      <c r="I35" s="755"/>
    </row>
    <row r="36" spans="1:9" s="116" customFormat="1" ht="15.75" customHeight="1">
      <c r="A36" s="693"/>
      <c r="B36" s="707" t="str">
        <f>'Справка 7'!B116:F116</f>
        <v>Арно Филип Франсоа Валто де Мулиак 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3"/>
      <c r="B37" s="707" t="s">
        <v>979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3"/>
      <c r="B38" s="707" t="s">
        <v>979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3"/>
      <c r="B39" s="707" t="s">
        <v>979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3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3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3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2017-07-24T06:31:39Z</dcterms:modified>
  <cp:category/>
  <cp:version/>
  <cp:contentType/>
  <cp:contentStatus/>
</cp:coreProperties>
</file>