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firstSheet="2" activeTab="7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<sst xmlns="http://schemas.openxmlformats.org/spreadsheetml/2006/main" count="1057" uniqueCount="882">
  <si>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</si>
  <si>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</si>
  <si>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</si>
  <si>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</si>
  <si>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</si>
  <si>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</si>
  <si>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</si>
  <si>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</si>
  <si>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</si>
  <si>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</si>
  <si>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</si>
  <si>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</si>
  <si>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</si>
  <si>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</si>
  <si>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</si>
  <si>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</si>
  <si>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</si>
  <si>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</si>
  <si>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</si>
  <si>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</si>
  <si>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</si>
  <si>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</si>
  <si>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</si>
  <si>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</si>
  <si>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</si>
  <si>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</si>
  <si>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</si>
  <si>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</si>
  <si>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</si>
  <si>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</si>
  <si>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</si>
  <si>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</si>
  <si>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</si>
  <si>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</si>
  <si>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</si>
  <si>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</si>
  <si>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</si>
  <si>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</si>
  <si>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</si>
  <si>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</si>
  <si>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</si>
  <si>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</si>
  <si>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</si>
  <si>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</si>
  <si>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</si>
  <si>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</si>
  <si>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</si>
  <si>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</si>
  <si>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</si>
  <si>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</si>
  <si>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</si>
  <si>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</si>
  <si>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</si>
  <si>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</si>
  <si>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</si>
  <si>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</si>
  <si>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</si>
  <si>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</si>
  <si>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</si>
  <si>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</si>
  <si>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</si>
  <si>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</si>
  <si>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</si>
  <si>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</si>
  <si>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</si>
  <si>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</si>
  <si>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</si>
  <si>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</si>
  <si>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</si>
  <si>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</si>
  <si>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</si>
  <si>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</si>
  <si>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</si>
  <si>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</si>
  <si>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</si>
  <si>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</si>
  <si>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</si>
  <si>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</si>
  <si>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</si>
  <si>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</si>
  <si>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</si>
  <si>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</si>
  <si>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</si>
  <si>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</si>
  <si>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</si>
  <si>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</si>
  <si>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</si>
  <si>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</si>
  <si>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</si>
  <si>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</si>
  <si>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</si>
  <si>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</si>
  <si>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</si>
  <si>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</si>
  <si>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</si>
  <si>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</si>
  <si>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</si>
  <si>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</si>
  <si>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</si>
  <si>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</si>
  <si>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</si>
  <si>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</si>
  <si>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</si>
  <si>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</si>
  <si>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</si>
  <si>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</si>
  <si>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</si>
  <si>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</si>
  <si>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</si>
  <si>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</si>
  <si>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</si>
  <si>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</si>
  <si>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</si>
  <si>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</si>
  <si>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</si>
  <si>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</si>
  <si>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</si>
  <si>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</si>
  <si>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</si>
  <si>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</si>
  <si>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</si>
  <si>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</si>
  <si>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</si>
  <si>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</si>
  <si>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</si>
  <si>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</si>
  <si>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</si>
  <si>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</si>
  <si>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</si>
  <si>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</si>
  <si>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</si>
  <si>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</si>
  <si>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</si>
  <si>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</si>
  <si>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</si>
  <si>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</si>
  <si>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</si>
  <si>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</si>
  <si>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</si>
  <si>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</si>
  <si>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</si>
  <si>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</si>
  <si>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</si>
  <si>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</si>
  <si>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</si>
  <si>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</si>
  <si>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</si>
  <si>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</si>
  <si>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</si>
  <si>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</si>
  <si>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</si>
  <si>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</si>
  <si>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</si>
  <si>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</si>
  <si>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</si>
  <si>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</si>
  <si>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</si>
  <si>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</si>
  <si>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</si>
  <si>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</si>
  <si>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</si>
  <si>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</si>
  <si>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</si>
  <si>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</si>
  <si>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</si>
  <si>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</si>
  <si>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</si>
  <si>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</si>
  <si>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</si>
  <si>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</si>
  <si>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</si>
  <si>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</si>
  <si>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</si>
  <si>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</si>
  <si>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</si>
  <si>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</si>
  <si>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</si>
  <si>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</si>
  <si>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</si>
  <si>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</si>
  <si>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</si>
  <si>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</si>
  <si>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</si>
  <si>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</si>
  <si>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</si>
  <si>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</si>
  <si>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</si>
  <si>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</si>
  <si>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</si>
  <si>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</si>
  <si>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</si>
  <si>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</si>
  <si>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</si>
  <si>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</si>
  <si>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</si>
  <si>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</si>
  <si>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</si>
  <si>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</si>
  <si>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</si>
  <si>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</si>
  <si>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</si>
  <si>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</si>
  <si>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</si>
  <si>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</si>
  <si>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</si>
  <si>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</si>
  <si>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</si>
  <si>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</si>
  <si>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</si>
  <si>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</si>
  <si>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</si>
  <si>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</si>
  <si>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</si>
  <si>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</si>
  <si>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</si>
  <si>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</si>
  <si>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</si>
  <si>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</si>
  <si>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</si>
  <si>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</si>
  <si>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</si>
  <si>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</si>
  <si>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</si>
  <si>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</si>
  <si>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</si>
  <si>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</si>
  <si>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</si>
  <si>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</si>
  <si>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</si>
  <si>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</si>
  <si>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</si>
  <si>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</si>
  <si>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</si>
  <si>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</si>
  <si>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</si>
  <si>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</si>
  <si>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</si>
  <si>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</si>
  <si>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</si>
  <si>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</si>
  <si>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</si>
  <si>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</si>
  <si>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</si>
  <si>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</si>
  <si>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</si>
  <si>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</si>
  <si>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</si>
  <si>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</si>
  <si>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</si>
  <si>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</si>
  <si>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</si>
  <si>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</si>
  <si>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</si>
  <si>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</si>
  <si>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</si>
  <si>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</si>
  <si>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</si>
  <si>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</si>
  <si>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</si>
  <si>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</si>
  <si>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</si>
  <si>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</si>
  <si>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</si>
  <si>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</si>
  <si>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</si>
  <si>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</si>
  <si>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</si>
  <si>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</si>
  <si>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</si>
  <si>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</si>
  <si>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</si>
  <si>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</si>
  <si>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</si>
  <si>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</si>
  <si>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</si>
  <si>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</si>
  <si>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</si>
  <si>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</si>
  <si>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</si>
  <si>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</si>
  <si>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</si>
  <si>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</si>
  <si>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</si>
  <si>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</si>
  <si>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</si>
  <si>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</si>
  <si>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</si>
  <si>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</si>
  <si>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</si>
  <si>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</si>
  <si>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</si>
  <si>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</si>
  <si>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</si>
  <si>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</si>
  <si>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</si>
  <si>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</si>
  <si>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</si>
  <si>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</si>
  <si>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</si>
  <si>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</si>
  <si>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</si>
  <si>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</si>
  <si>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</si>
  <si>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</si>
  <si>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</si>
  <si>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</si>
  <si>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</si>
  <si>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</si>
  <si>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</si>
  <si>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</si>
  <si>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</si>
  <si>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</si>
  <si>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</si>
  <si>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</si>
  <si>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</si>
  <si>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</si>
  <si>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</si>
  <si>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</si>
  <si>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</si>
  <si>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</si>
  <si>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</si>
  <si>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</si>
  <si>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</si>
  <si>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</si>
  <si>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</si>
  <si>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</si>
  <si>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</si>
  <si>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</si>
  <si>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</si>
  <si>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</si>
  <si>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</si>
  <si>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</si>
  <si>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</si>
  <si>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</si>
  <si>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</si>
  <si>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</si>
  <si>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</si>
  <si>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</si>
  <si>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</si>
  <si>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</si>
  <si>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</si>
  <si>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</si>
  <si>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</si>
  <si>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</si>
  <si>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</si>
  <si>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</si>
  <si>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</si>
  <si>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</si>
  <si>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</si>
  <si>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</si>
  <si>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</si>
  <si>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</si>
  <si>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</si>
  <si>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</si>
  <si>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</si>
  <si>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</si>
  <si>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</si>
  <si>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</si>
  <si>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</si>
  <si>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</si>
  <si>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</si>
  <si>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</si>
  <si>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</si>
  <si>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</si>
  <si>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</si>
  <si>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</si>
  <si>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</si>
  <si>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</si>
  <si>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</si>
  <si>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</si>
  <si>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</si>
  <si>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</si>
  <si>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</si>
  <si>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</si>
  <si>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</si>
  <si>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</si>
  <si>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</si>
  <si>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</si>
  <si>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</si>
  <si>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</si>
  <si>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</si>
  <si>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</si>
  <si>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</si>
  <si>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</si>
  <si>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</si>
  <si>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</si>
  <si>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</si>
  <si>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</si>
  <si>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</si>
  <si>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</si>
  <si>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</si>
  <si>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</si>
  <si>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</si>
  <si>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</si>
  <si>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</si>
  <si>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</si>
  <si>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</si>
  <si>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</si>
  <si>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</si>
  <si>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</si>
  <si>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</si>
  <si>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</si>
  <si>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</si>
  <si>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</si>
  <si>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</si>
  <si>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</si>
  <si>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</si>
  <si>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</si>
  <si>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</si>
  <si>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</si>
  <si>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</si>
  <si>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</si>
  <si>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</si>
  <si>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</si>
  <si>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</si>
  <si>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</si>
  <si>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</si>
  <si>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</si>
  <si>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</si>
  <si>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</si>
  <si>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</si>
  <si>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</si>
  <si>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</si>
  <si>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</si>
  <si>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</si>
  <si>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</si>
  <si>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</si>
  <si>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</si>
  <si>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</si>
  <si>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</si>
  <si>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</si>
  <si>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</si>
  <si>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</si>
  <si>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</si>
  <si>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</si>
  <si>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</si>
  <si>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</si>
  <si>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</si>
  <si>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</si>
  <si>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</si>
  <si>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</si>
  <si>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</si>
  <si>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</si>
  <si>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</si>
  <si>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</si>
  <si>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</si>
  <si>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</si>
  <si>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</si>
  <si>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</si>
  <si>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</si>
  <si>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</si>
  <si>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</si>
  <si>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</si>
  <si>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</si>
  <si>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</si>
  <si>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</si>
  <si>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</si>
  <si>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</si>
  <si>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</si>
  <si>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</si>
  <si>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</si>
  <si>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</si>
  <si>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</si>
  <si>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</si>
  <si>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</si>
  <si>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</si>
  <si>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</si>
  <si>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</si>
  <si>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</si>
  <si>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</si>
  <si>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</si>
  <si>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</si>
  <si>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</si>
  <si>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</si>
  <si>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</si>
  <si>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</si>
  <si>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</si>
  <si>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</si>
  <si>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</si>
  <si>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</si>
  <si>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</si>
  <si>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</si>
  <si>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</si>
  <si>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</si>
  <si>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</si>
  <si>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</si>
  <si>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</si>
  <si>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</si>
  <si>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</si>
  <si>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</si>
  <si>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</si>
  <si>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</si>
  <si>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</si>
  <si>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</si>
  <si>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</si>
  <si>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</si>
  <si>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</si>
  <si>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</si>
  <si>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</si>
  <si>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</si>
  <si>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</si>
  <si>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</si>
  <si>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</si>
  <si>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</si>
  <si>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</si>
  <si>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</si>
  <si>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</si>
  <si>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</si>
  <si>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</si>
  <si>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</si>
  <si>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</si>
  <si>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</si>
  <si>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</si>
  <si>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</si>
  <si>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</si>
  <si>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</si>
  <si>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</si>
  <si>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</si>
  <si>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</si>
  <si>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</si>
  <si>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</si>
  <si>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</si>
  <si>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</si>
  <si>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</si>
  <si>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</si>
  <si>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</si>
  <si>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</si>
  <si>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</si>
  <si>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</si>
  <si>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</si>
  <si>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</si>
  <si>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</si>
  <si>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</si>
  <si>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</si>
  <si>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</si>
  <si>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</si>
  <si>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</si>
  <si>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</si>
  <si>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</si>
  <si>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</si>
  <si>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</si>
  <si>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</si>
  <si>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</si>
  <si>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</si>
  <si>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</si>
  <si>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</si>
  <si>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</si>
  <si>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</si>
  <si>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</si>
  <si>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</si>
  <si>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</si>
  <si>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</si>
  <si>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</si>
  <si>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</si>
  <si>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</si>
  <si>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</si>
  <si>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</si>
  <si>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</si>
  <si>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</si>
  <si>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</si>
  <si>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</si>
  <si>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</si>
  <si>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</si>
  <si>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</si>
  <si>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</si>
  <si>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</si>
  <si>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</si>
  <si>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</si>
  <si>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</si>
  <si>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</si>
  <si>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</si>
  <si>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</si>
  <si>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</si>
  <si>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</si>
  <si>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</si>
  <si>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</si>
  <si>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</si>
  <si>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</si>
  <si>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</si>
  <si>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</si>
  <si>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</si>
  <si>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</si>
  <si>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</si>
  <si>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</si>
  <si>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</si>
  <si>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</si>
  <si>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</si>
  <si>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</si>
  <si>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</si>
  <si>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</si>
  <si>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</si>
  <si>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</si>
  <si>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</si>
  <si>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</si>
  <si>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</si>
  <si>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</si>
  <si>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</si>
  <si>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</si>
  <si>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</si>
  <si>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</si>
  <si>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</si>
  <si>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</si>
  <si>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</si>
  <si>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</si>
  <si>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</si>
  <si>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</si>
  <si>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</si>
  <si>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</si>
  <si>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</si>
  <si>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</si>
  <si>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</si>
  <si>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</si>
  <si>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</si>
  <si>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</si>
  <si>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</si>
  <si>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</si>
  <si>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</si>
  <si>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</si>
  <si>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</si>
  <si>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</si>
  <si>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</si>
  <si>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</si>
  <si>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</si>
  <si>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</si>
  <si>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</si>
  <si>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</si>
  <si>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</si>
  <si>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</si>
  <si>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</si>
  <si>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</si>
  <si>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</si>
  <si>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</si>
  <si>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</si>
  <si>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</si>
  <si>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</si>
  <si>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</si>
  <si>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</si>
  <si>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</si>
  <si>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</si>
  <si>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</si>
  <si>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</si>
  <si>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</si>
  <si>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</si>
  <si>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</si>
  <si>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</si>
  <si>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</si>
  <si>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</si>
  <si>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</si>
  <si>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</si>
  <si>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</si>
  <si>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</si>
  <si>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</si>
  <si>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</si>
  <si>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</si>
  <si>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</si>
  <si>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</si>
  <si>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</si>
  <si>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</si>
  <si>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</si>
  <si>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</si>
  <si>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</si>
  <si>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</si>
  <si>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</si>
  <si>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</si>
  <si>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</si>
  <si>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</si>
  <si>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</si>
  <si>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</si>
  <si>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</si>
  <si>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</si>
  <si>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</si>
  <si>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</si>
  <si>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</si>
  <si>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</si>
  <si>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</si>
  <si>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</si>
  <si>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</si>
  <si>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</si>
  <si>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</si>
  <si>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</si>
  <si>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</si>
  <si>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</si>
  <si>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</si>
  <si>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</si>
  <si>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</si>
  <si>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</si>
  <si>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</si>
  <si>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</si>
  <si>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</si>
  <si>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</si>
  <si>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</si>
  <si>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</si>
  <si>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</si>
  <si>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</si>
  <si>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</si>
  <si>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</si>
  <si>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</si>
  <si>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</si>
  <si>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</si>
  <si>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</si>
  <si>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</si>
  <si>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</si>
  <si>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</si>
  <si>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</si>
  <si>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</si>
  <si>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</si>
  <si>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</si>
  <si>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</si>
  <si>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</si>
  <si>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</si>
  <si>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</si>
  <si>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</si>
  <si>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</si>
  <si>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</si>
  <si>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</si>
  <si>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</si>
  <si>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</si>
  <si>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</si>
  <si>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</si>
  <si>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</si>
  <si>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</si>
  <si>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</si>
  <si>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</si>
  <si>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</si>
  <si>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</si>
  <si>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</si>
  <si>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</si>
  <si>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</si>
  <si>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</si>
  <si>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</si>
  <si>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</si>
  <si>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</si>
  <si>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</si>
  <si>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</si>
  <si>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</si>
  <si>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</si>
  <si>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</si>
  <si>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</si>
  <si>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</si>
  <si>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</si>
  <si>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</si>
  <si>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</si>
  <si>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</si>
  <si>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</si>
  <si>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</si>
  <si>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</si>
  <si>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</si>
  <si>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</si>
  <si>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</si>
  <si>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</si>
  <si>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</si>
  <si>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</si>
  <si>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</si>
  <si>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</si>
  <si>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</si>
  <si>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</si>
  <si>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</si>
  <si>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</si>
  <si>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</si>
  <si>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</si>
  <si>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</si>
  <si>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</si>
  <si>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</si>
  <si>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</si>
  <si>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</si>
  <si>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</si>
  <si>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</si>
  <si>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</si>
  <si>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</si>
  <si>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</si>
  <si>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</si>
  <si>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</si>
  <si>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</si>
  <si>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</si>
  <si>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</si>
  <si>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</si>
  <si>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</si>
  <si>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</si>
  <si>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</si>
  <si>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</si>
  <si>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</si>
  <si>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</si>
  <si>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</si>
  <si>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</si>
  <si>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</si>
  <si>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</si>
  <si>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</si>
  <si>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</si>
  <si>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</si>
  <si>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</si>
  <si>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</si>
  <si>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</si>
  <si>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</si>
  <si>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</si>
  <si>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</si>
  <si>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</si>
  <si>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</si>
  <si>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</si>
  <si>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</si>
  <si>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</si>
  <si>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</si>
  <si>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</si>
  <si>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</si>
  <si>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</si>
  <si>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</si>
  <si>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</si>
  <si>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</si>
  <si>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</si>
  <si>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</si>
  <si>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</si>
  <si>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</si>
  <si>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</si>
  <si>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</si>
  <si>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</si>
  <si>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</si>
  <si>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</si>
  <si>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</si>
  <si>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</si>
  <si>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</si>
  <si>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</si>
  <si>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</si>
  <si>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</si>
  <si>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</si>
  <si>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</si>
  <si>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</si>
  <si>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</si>
  <si>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</si>
  <si>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</si>
  <si>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</si>
  <si>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</si>
  <si>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</si>
  <si>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</si>
  <si>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</si>
  <si>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</si>
  <si>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</si>
  <si>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</si>
  <si>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</si>
  <si>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</si>
  <si>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</si>
  <si>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</si>
  <si>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</si>
  <si>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</si>
  <si>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</si>
  <si>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</si>
  <si>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</si>
  <si>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</si>
  <si>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</si>
  <si>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</si>
  <si>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</si>
  <si>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</si>
  <si>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</si>
  <si>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</si>
  <si>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</si>
  <si>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</si>
  <si>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</si>
  <si>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</si>
  <si>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</si>
  <si>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</si>
  <si>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</si>
  <si>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</si>
  <si>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</si>
  <si>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</si>
  <si>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</si>
  <si>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</si>
  <si>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</si>
  <si>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</si>
  <si>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</si>
  <si>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</si>
  <si>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</si>
  <si>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</si>
  <si>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</si>
  <si>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</si>
  <si>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</si>
  <si>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</si>
  <si>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</si>
  <si>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</si>
  <si>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</si>
  <si>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</si>
  <si>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>8. ИМЛТ АД</t>
  </si>
  <si>
    <t>Забележка: Да се посочи метода на осчетоводяване на инвестициите - по себестойност</t>
  </si>
  <si>
    <t>Дата на съставяне: 09.05.2019 г</t>
  </si>
  <si>
    <t xml:space="preserve"> 2019 г. 31.03 - I-ВО ТРИМЕСЕЧИЕ 2019-КОНСОЛИДИРАН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</si>
</sst>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6" sqref="E6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859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881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214</v>
      </c>
      <c r="D11" s="204">
        <v>214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3028</v>
      </c>
      <c r="D12" s="204">
        <v>3029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31</v>
      </c>
      <c r="D13" s="204">
        <v>30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755</v>
      </c>
      <c r="D14" s="204">
        <v>755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179</v>
      </c>
      <c r="D15" s="204">
        <v>179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1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6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576</v>
      </c>
      <c r="D18" s="204">
        <v>577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4790</v>
      </c>
      <c r="D19" s="208">
        <f>SUM(D11:D18)</f>
        <v>4784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80</v>
      </c>
      <c r="H21" s="209">
        <f>SUM(H22:H24)</f>
        <v>80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80</v>
      </c>
      <c r="H22" s="205">
        <v>80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>
        <v>0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/>
      <c r="H24" s="205"/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80</v>
      </c>
      <c r="H25" s="207">
        <f>H19+H20+H21</f>
        <v>80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2132</v>
      </c>
      <c r="H27" s="207">
        <f>SUM(H28:H30)</f>
        <v>1957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2162</v>
      </c>
      <c r="H28" s="205">
        <v>1987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-30</v>
      </c>
      <c r="H29" s="390">
        <v>-30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0</v>
      </c>
      <c r="D30" s="204">
        <v>0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0</v>
      </c>
      <c r="H31" s="205">
        <v>175</v>
      </c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f>-1*'справка №2-ОТЧЕТ ЗА ДОХОДИТE'!G41</f>
        <v>-16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2116</v>
      </c>
      <c r="H33" s="207">
        <f>H27+H31+H32</f>
        <v>2132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2035</v>
      </c>
      <c r="D34" s="208">
        <f>SUM(D35:D38)</f>
        <v>948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0</v>
      </c>
      <c r="D35" s="204"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3387</v>
      </c>
      <c r="H36" s="207">
        <f>H25+H17+H33</f>
        <v>3403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939</v>
      </c>
      <c r="D37" s="204">
        <v>939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1096</v>
      </c>
      <c r="D38" s="204">
        <v>9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4238</v>
      </c>
      <c r="H39" s="211">
        <v>4269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№5'!R37</f>
        <v>23</v>
      </c>
      <c r="D44" s="204">
        <v>23</v>
      </c>
      <c r="E44" s="323" t="s">
        <v>134</v>
      </c>
      <c r="F44" s="297" t="s">
        <v>135</v>
      </c>
      <c r="G44" s="205">
        <v>714</v>
      </c>
      <c r="H44" s="205">
        <v>714</v>
      </c>
    </row>
    <row r="45" spans="1:15" ht="15">
      <c r="A45" s="290" t="s">
        <v>136</v>
      </c>
      <c r="B45" s="304" t="s">
        <v>137</v>
      </c>
      <c r="C45" s="208">
        <f>C34+C39+C44</f>
        <v>2058</v>
      </c>
      <c r="D45" s="208">
        <f>D34+D39+D44</f>
        <v>971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1232</v>
      </c>
      <c r="H46" s="205">
        <v>1232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0</v>
      </c>
      <c r="E48" s="292" t="s">
        <v>149</v>
      </c>
      <c r="F48" s="297" t="s">
        <v>150</v>
      </c>
      <c r="G48" s="205">
        <v>131</v>
      </c>
      <c r="H48" s="205">
        <v>131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2077</v>
      </c>
      <c r="H49" s="207">
        <f>SUM(H43:H48)</f>
        <v>2077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25</v>
      </c>
      <c r="D54" s="204">
        <v>25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6873</v>
      </c>
      <c r="D55" s="208">
        <f>D19+D20+D21+D27+D32+D45+D51+D53+D54</f>
        <v>5780</v>
      </c>
      <c r="E55" s="292" t="s">
        <v>172</v>
      </c>
      <c r="F55" s="316" t="s">
        <v>173</v>
      </c>
      <c r="G55" s="207">
        <f>G49+G51+G52+G53+G54</f>
        <v>2077</v>
      </c>
      <c r="H55" s="207">
        <f>H49+H51+H52+H53+H54</f>
        <v>2077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467</v>
      </c>
      <c r="D58" s="204">
        <v>487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39</v>
      </c>
      <c r="D59" s="204">
        <v>41</v>
      </c>
      <c r="E59" s="306" t="s">
        <v>181</v>
      </c>
      <c r="F59" s="297" t="s">
        <v>182</v>
      </c>
      <c r="G59" s="205">
        <v>0</v>
      </c>
      <c r="H59" s="205">
        <v>0</v>
      </c>
      <c r="M59" s="210"/>
    </row>
    <row r="60" spans="1:8" ht="15">
      <c r="A60" s="290" t="s">
        <v>183</v>
      </c>
      <c r="B60" s="296" t="s">
        <v>184</v>
      </c>
      <c r="C60" s="204">
        <v>0</v>
      </c>
      <c r="D60" s="204">
        <v>0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1832</v>
      </c>
      <c r="D61" s="204">
        <v>1801</v>
      </c>
      <c r="E61" s="298" t="s">
        <v>189</v>
      </c>
      <c r="F61" s="327" t="s">
        <v>190</v>
      </c>
      <c r="G61" s="207">
        <f>SUM(G62:G68)</f>
        <v>728</v>
      </c>
      <c r="H61" s="207">
        <f>SUM(H62:H68)</f>
        <v>728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29</v>
      </c>
      <c r="H63" s="205">
        <v>29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2338</v>
      </c>
      <c r="D64" s="208">
        <f>SUM(D58:D63)</f>
        <v>2329</v>
      </c>
      <c r="E64" s="292" t="s">
        <v>200</v>
      </c>
      <c r="F64" s="297" t="s">
        <v>201</v>
      </c>
      <c r="G64" s="205">
        <v>172</v>
      </c>
      <c r="H64" s="205">
        <v>172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409</v>
      </c>
      <c r="H65" s="205">
        <v>409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40</v>
      </c>
      <c r="H66" s="205">
        <v>40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12</v>
      </c>
      <c r="H67" s="205">
        <v>12</v>
      </c>
    </row>
    <row r="68" spans="1:8" ht="15">
      <c r="A68" s="290" t="s">
        <v>211</v>
      </c>
      <c r="B68" s="296" t="s">
        <v>212</v>
      </c>
      <c r="C68" s="204">
        <v>1280</v>
      </c>
      <c r="D68" s="204">
        <v>1242</v>
      </c>
      <c r="E68" s="292" t="s">
        <v>213</v>
      </c>
      <c r="F68" s="297" t="s">
        <v>214</v>
      </c>
      <c r="G68" s="205">
        <v>66</v>
      </c>
      <c r="H68" s="205">
        <v>66</v>
      </c>
    </row>
    <row r="69" spans="1:8" ht="15">
      <c r="A69" s="290" t="s">
        <v>215</v>
      </c>
      <c r="B69" s="296" t="s">
        <v>216</v>
      </c>
      <c r="C69" s="204">
        <v>372</v>
      </c>
      <c r="D69" s="204">
        <v>262</v>
      </c>
      <c r="E69" s="306" t="s">
        <v>78</v>
      </c>
      <c r="F69" s="297" t="s">
        <v>217</v>
      </c>
      <c r="G69" s="205">
        <f>591+644</f>
        <v>1235</v>
      </c>
      <c r="H69" s="205">
        <v>591</v>
      </c>
    </row>
    <row r="70" spans="1:8" ht="15">
      <c r="A70" s="290" t="s">
        <v>218</v>
      </c>
      <c r="B70" s="296" t="s">
        <v>219</v>
      </c>
      <c r="C70" s="204">
        <v>76</v>
      </c>
      <c r="D70" s="204">
        <v>76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178</v>
      </c>
      <c r="D71" s="204">
        <v>178</v>
      </c>
      <c r="E71" s="308" t="s">
        <v>46</v>
      </c>
      <c r="F71" s="328" t="s">
        <v>224</v>
      </c>
      <c r="G71" s="214">
        <f>G59+G60+G61+G69+G70</f>
        <v>1963</v>
      </c>
      <c r="H71" s="214">
        <f>H59+H60+H61+H69+H70</f>
        <v>1319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23</v>
      </c>
      <c r="D72" s="204">
        <v>31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194</v>
      </c>
      <c r="D74" s="204">
        <v>744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2123</v>
      </c>
      <c r="D75" s="208">
        <f>SUM(D67:D74)</f>
        <v>2533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1963</v>
      </c>
      <c r="H79" s="215">
        <f>H71+H74+H75+H76</f>
        <v>1319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279</v>
      </c>
      <c r="D87" s="204">
        <v>294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44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323</v>
      </c>
      <c r="D91" s="208">
        <f>SUM(D87:D90)</f>
        <v>417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8</v>
      </c>
      <c r="D92" s="204">
        <v>9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4792</v>
      </c>
      <c r="D93" s="208">
        <f>D64+D75+D84+D91+D92</f>
        <v>5288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11665</v>
      </c>
      <c r="D94" s="217">
        <f>D93+D55</f>
        <v>11068</v>
      </c>
      <c r="E94" s="556" t="s">
        <v>270</v>
      </c>
      <c r="F94" s="344" t="s">
        <v>271</v>
      </c>
      <c r="G94" s="218">
        <f>G36+G39+G55+G79</f>
        <v>11665</v>
      </c>
      <c r="H94" s="218">
        <f>H36+H39+H55+H79</f>
        <v>11068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879</v>
      </c>
      <c r="B96" s="538"/>
      <c r="C96" s="608"/>
      <c r="D96" s="203"/>
      <c r="E96" s="539"/>
      <c r="F96" s="223"/>
      <c r="G96" s="601">
        <f>G94-C94</f>
        <v>0</v>
      </c>
      <c r="H96" s="603">
        <f>D94-H94</f>
        <v>0</v>
      </c>
      <c r="M96" s="210"/>
    </row>
    <row r="97" spans="1:13" ht="15">
      <c r="A97" s="537"/>
      <c r="B97" s="538"/>
      <c r="C97" s="203"/>
      <c r="D97" s="203"/>
      <c r="E97" s="539"/>
      <c r="F97" s="223"/>
      <c r="M97" s="210"/>
    </row>
    <row r="98" spans="1:13" ht="15">
      <c r="A98" s="78" t="s">
        <v>880</v>
      </c>
      <c r="B98" s="538"/>
      <c r="C98" s="609" t="s">
        <v>819</v>
      </c>
      <c r="D98" s="609"/>
      <c r="E98" s="609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9" t="s">
        <v>781</v>
      </c>
      <c r="D100" s="610"/>
      <c r="E100" s="610"/>
      <c r="F100" s="609"/>
      <c r="G100" s="610"/>
      <c r="H100" s="610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G40" sqref="G4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3" t="s">
        <v>2</v>
      </c>
      <c r="G2" s="613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2019 г. 31.03 - I-ВО ТРИМЕСЕЧИЕ 2019-КОНСОЛИДИРАН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67</v>
      </c>
      <c r="D9" s="79">
        <v>38</v>
      </c>
      <c r="E9" s="362" t="s">
        <v>283</v>
      </c>
      <c r="F9" s="364" t="s">
        <v>284</v>
      </c>
      <c r="G9" s="87">
        <v>1</v>
      </c>
      <c r="H9" s="87">
        <v>0</v>
      </c>
    </row>
    <row r="10" spans="1:8" ht="12">
      <c r="A10" s="362" t="s">
        <v>285</v>
      </c>
      <c r="B10" s="363" t="s">
        <v>286</v>
      </c>
      <c r="C10" s="79">
        <v>89</v>
      </c>
      <c r="D10" s="79">
        <v>30</v>
      </c>
      <c r="E10" s="362" t="s">
        <v>287</v>
      </c>
      <c r="F10" s="364" t="s">
        <v>288</v>
      </c>
      <c r="G10" s="87">
        <v>0</v>
      </c>
      <c r="H10" s="87">
        <v>1</v>
      </c>
    </row>
    <row r="11" spans="1:8" ht="12">
      <c r="A11" s="362" t="s">
        <v>289</v>
      </c>
      <c r="B11" s="363" t="s">
        <v>290</v>
      </c>
      <c r="C11" s="79">
        <v>1</v>
      </c>
      <c r="D11" s="79">
        <v>0</v>
      </c>
      <c r="E11" s="365" t="s">
        <v>291</v>
      </c>
      <c r="F11" s="364" t="s">
        <v>292</v>
      </c>
      <c r="G11" s="87">
        <v>11</v>
      </c>
      <c r="H11" s="87">
        <v>13</v>
      </c>
    </row>
    <row r="12" spans="1:8" ht="12">
      <c r="A12" s="362" t="s">
        <v>293</v>
      </c>
      <c r="B12" s="363" t="s">
        <v>294</v>
      </c>
      <c r="C12" s="79">
        <v>16</v>
      </c>
      <c r="D12" s="79">
        <v>29</v>
      </c>
      <c r="E12" s="365" t="s">
        <v>78</v>
      </c>
      <c r="F12" s="364" t="s">
        <v>295</v>
      </c>
      <c r="G12" s="87">
        <v>146</v>
      </c>
      <c r="H12" s="87">
        <v>138</v>
      </c>
    </row>
    <row r="13" spans="1:18" ht="12">
      <c r="A13" s="362" t="s">
        <v>296</v>
      </c>
      <c r="B13" s="363" t="s">
        <v>297</v>
      </c>
      <c r="C13" s="79">
        <v>4</v>
      </c>
      <c r="D13" s="79">
        <v>5</v>
      </c>
      <c r="E13" s="366" t="s">
        <v>51</v>
      </c>
      <c r="F13" s="367" t="s">
        <v>298</v>
      </c>
      <c r="G13" s="88">
        <f>SUM(G9:G12)</f>
        <v>158</v>
      </c>
      <c r="H13" s="88">
        <f>SUM(H9:H12)</f>
        <v>152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46</v>
      </c>
      <c r="D14" s="79">
        <v>79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-30</v>
      </c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4</v>
      </c>
      <c r="D16" s="80">
        <v>0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197</v>
      </c>
      <c r="D19" s="82">
        <f>SUM(D9:D15)+D16</f>
        <v>181</v>
      </c>
      <c r="E19" s="372" t="s">
        <v>315</v>
      </c>
      <c r="F19" s="368" t="s">
        <v>316</v>
      </c>
      <c r="G19" s="87"/>
      <c r="H19" s="87">
        <v>0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7</v>
      </c>
      <c r="D22" s="79">
        <v>7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0</v>
      </c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0</v>
      </c>
      <c r="H24" s="88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</v>
      </c>
      <c r="D25" s="79">
        <v>3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8</v>
      </c>
      <c r="D26" s="82">
        <f>SUM(D22:D25)</f>
        <v>10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205</v>
      </c>
      <c r="D28" s="83">
        <f>D26+D19</f>
        <v>191</v>
      </c>
      <c r="E28" s="173" t="s">
        <v>337</v>
      </c>
      <c r="F28" s="369" t="s">
        <v>338</v>
      </c>
      <c r="G28" s="88">
        <f>G13+G15+G24</f>
        <v>158</v>
      </c>
      <c r="H28" s="88">
        <f>H13+H15+H24</f>
        <v>152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47</v>
      </c>
      <c r="H30" s="90">
        <f>IF((D28-H28)&gt;0,D28-H28,0)</f>
        <v>39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851</v>
      </c>
      <c r="B31" s="375" t="s">
        <v>343</v>
      </c>
      <c r="C31" s="79"/>
      <c r="D31" s="79"/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205</v>
      </c>
      <c r="D33" s="82">
        <f>D28+D31+D32</f>
        <v>191</v>
      </c>
      <c r="E33" s="173" t="s">
        <v>351</v>
      </c>
      <c r="F33" s="369" t="s">
        <v>352</v>
      </c>
      <c r="G33" s="90">
        <f>G32+G31+G28</f>
        <v>158</v>
      </c>
      <c r="H33" s="90">
        <f>H32+H31+H28</f>
        <v>152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47</v>
      </c>
      <c r="H34" s="88">
        <f>IF((D33-H33)&gt;0,D33-H33,0)</f>
        <v>39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0</v>
      </c>
      <c r="D36" s="79">
        <v>0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47</v>
      </c>
      <c r="H39" s="91">
        <f>IF(H34&gt;0,IF(D35+H34&lt;0,0,D35+H34),IF(D34-D35&lt;0,D35-D34,0))</f>
        <v>39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v>0</v>
      </c>
      <c r="D40" s="84">
        <f>D39*61.38%</f>
        <v>0</v>
      </c>
      <c r="E40" s="173" t="s">
        <v>369</v>
      </c>
      <c r="F40" s="174" t="s">
        <v>371</v>
      </c>
      <c r="G40" s="87">
        <v>31</v>
      </c>
      <c r="H40" s="87">
        <v>21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16</v>
      </c>
      <c r="H41" s="85">
        <f>IF(D39=0,IF(H39-H40&gt;0,H39-H40+D40,0),IF(D39-D40&lt;0,D40-D39+H40,0))</f>
        <v>18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205</v>
      </c>
      <c r="D42" s="86">
        <f>D33+D35+D39</f>
        <v>191</v>
      </c>
      <c r="E42" s="176" t="s">
        <v>378</v>
      </c>
      <c r="F42" s="177" t="s">
        <v>379</v>
      </c>
      <c r="G42" s="90">
        <f>G39+G33</f>
        <v>205</v>
      </c>
      <c r="H42" s="90">
        <f>H39+H33</f>
        <v>191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1"/>
      <c r="E44" s="611"/>
      <c r="F44" s="611"/>
      <c r="G44" s="611"/>
      <c r="H44" s="611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2"/>
      <c r="E46" s="612"/>
      <c r="F46" s="612"/>
      <c r="G46" s="612"/>
      <c r="H46" s="612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2019 г. 31.03 - I-ВО ТРИМЕСЕЧИЕ 2019-КОНСОЛИДИРАН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297</v>
      </c>
      <c r="D10" s="92">
        <v>125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-315-36</f>
        <v>-351</v>
      </c>
      <c r="D11" s="92">
        <v>-408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-20</v>
      </c>
      <c r="D13" s="92">
        <v>-28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0</v>
      </c>
      <c r="D14" s="92">
        <v>22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</v>
      </c>
      <c r="D15" s="92">
        <v>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10</v>
      </c>
      <c r="D19" s="92">
        <v>-101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-66</v>
      </c>
      <c r="D20" s="93">
        <f>SUM(D10:D19)</f>
        <v>-389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0</v>
      </c>
      <c r="D22" s="92">
        <v>-2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-8</v>
      </c>
      <c r="D32" s="93">
        <f>SUM(D22:D31)</f>
        <v>-2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87</v>
      </c>
      <c r="D36" s="92">
        <v>324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-100</v>
      </c>
      <c r="D37" s="92">
        <v>-70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-8</v>
      </c>
      <c r="D38" s="92">
        <v>-7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2</v>
      </c>
      <c r="D39" s="92">
        <v>21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-3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-20</v>
      </c>
      <c r="D42" s="93">
        <f>SUM(D34:D41)</f>
        <v>265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-94</v>
      </c>
      <c r="D43" s="93">
        <f>D42+D32+D20</f>
        <v>-126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417</v>
      </c>
      <c r="D44" s="183">
        <f>190+108+209+36</f>
        <v>543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323</v>
      </c>
      <c r="D45" s="93">
        <f>D44+D43</f>
        <v>417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323</v>
      </c>
      <c r="D46" s="94">
        <f>D45</f>
        <v>417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09.05.2019 г</v>
      </c>
      <c r="B50" s="543" t="s">
        <v>381</v>
      </c>
      <c r="C50" s="614"/>
      <c r="D50" s="614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863</v>
      </c>
      <c r="C52" s="614"/>
      <c r="D52" s="614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L16" sqref="L16:M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7" t="str">
        <f>'справка №1-БАЛАНС'!E3</f>
        <v>Булгар Чех Инвест Холдинг АД - Смолян</v>
      </c>
      <c r="D3" s="618"/>
      <c r="E3" s="618"/>
      <c r="F3" s="618"/>
      <c r="G3" s="618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7" t="str">
        <f>'справка №1-БАЛАНС'!E4</f>
        <v>КОНСОЛИДИРАН </v>
      </c>
      <c r="D4" s="617"/>
      <c r="E4" s="619"/>
      <c r="F4" s="617"/>
      <c r="G4" s="617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7" t="str">
        <f>'справка №1-БАЛАНС'!E5</f>
        <v> 2019 г. 31.03 - I-ВО ТРИМЕСЕЧИЕ 2019-КОНСОЛИДИРАН</v>
      </c>
      <c r="D5" s="618"/>
      <c r="E5" s="618"/>
      <c r="F5" s="618"/>
      <c r="G5" s="618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80</v>
      </c>
      <c r="G11" s="96">
        <f>'справка №1-БАЛАНС'!H23</f>
        <v>0</v>
      </c>
      <c r="H11" s="98">
        <f>'справка №1-БАЛАНС'!H24</f>
        <v>0</v>
      </c>
      <c r="I11" s="96">
        <f>'справка №1-БАЛАНС'!H28+'справка №1-БАЛАНС'!H31</f>
        <v>2162</v>
      </c>
      <c r="J11" s="96">
        <f>'справка №1-БАЛАНС'!H29+'справка №1-БАЛАНС'!H32</f>
        <v>-30</v>
      </c>
      <c r="K11" s="98"/>
      <c r="L11" s="423">
        <f>SUM(C11:K11)</f>
        <v>3403</v>
      </c>
      <c r="M11" s="96">
        <f>'справка №1-БАЛАНС'!H39</f>
        <v>4269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80</v>
      </c>
      <c r="G15" s="99">
        <f t="shared" si="2"/>
        <v>0</v>
      </c>
      <c r="H15" s="99">
        <f t="shared" si="2"/>
        <v>0</v>
      </c>
      <c r="I15" s="99">
        <f t="shared" si="2"/>
        <v>2162</v>
      </c>
      <c r="J15" s="99">
        <f t="shared" si="2"/>
        <v>-30</v>
      </c>
      <c r="K15" s="99">
        <f t="shared" si="2"/>
        <v>0</v>
      </c>
      <c r="L15" s="423">
        <f t="shared" si="1"/>
        <v>3403</v>
      </c>
      <c r="M15" s="99">
        <f t="shared" si="2"/>
        <v>4269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-16</v>
      </c>
      <c r="K16" s="98"/>
      <c r="L16" s="423">
        <f t="shared" si="1"/>
        <v>-16</v>
      </c>
      <c r="M16" s="98">
        <f>'справка №2-ОТЧЕТ ЗА ДОХОДИТE'!G40*-1</f>
        <v>-31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80</v>
      </c>
      <c r="G29" s="97">
        <f t="shared" si="6"/>
        <v>0</v>
      </c>
      <c r="H29" s="97">
        <f t="shared" si="6"/>
        <v>0</v>
      </c>
      <c r="I29" s="97">
        <f t="shared" si="6"/>
        <v>2162</v>
      </c>
      <c r="J29" s="97">
        <f t="shared" si="6"/>
        <v>-46</v>
      </c>
      <c r="K29" s="97">
        <f t="shared" si="6"/>
        <v>0</v>
      </c>
      <c r="L29" s="423">
        <f t="shared" si="1"/>
        <v>3387</v>
      </c>
      <c r="M29" s="97">
        <f t="shared" si="6"/>
        <v>4238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80</v>
      </c>
      <c r="G32" s="97">
        <f t="shared" si="7"/>
        <v>0</v>
      </c>
      <c r="H32" s="97">
        <f t="shared" si="7"/>
        <v>0</v>
      </c>
      <c r="I32" s="97">
        <f t="shared" si="7"/>
        <v>2162</v>
      </c>
      <c r="J32" s="97">
        <f t="shared" si="7"/>
        <v>-46</v>
      </c>
      <c r="K32" s="97">
        <f t="shared" si="7"/>
        <v>0</v>
      </c>
      <c r="L32" s="423">
        <f t="shared" si="1"/>
        <v>3387</v>
      </c>
      <c r="M32" s="97">
        <f>M29+M30+M31</f>
        <v>4238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09.05.2019 г</v>
      </c>
      <c r="B35" s="37"/>
      <c r="C35" s="24"/>
      <c r="D35" s="616" t="s">
        <v>521</v>
      </c>
      <c r="E35" s="616"/>
      <c r="F35" s="616" t="s">
        <v>864</v>
      </c>
      <c r="G35" s="616"/>
      <c r="H35" s="616"/>
      <c r="I35" s="616"/>
      <c r="J35" s="24"/>
      <c r="K35" s="24"/>
      <c r="L35" s="616" t="s">
        <v>865</v>
      </c>
      <c r="M35" s="616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17" sqref="F1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7" t="s">
        <v>383</v>
      </c>
      <c r="B2" s="630"/>
      <c r="C2" s="583"/>
      <c r="D2" s="583"/>
      <c r="E2" s="617" t="str">
        <f>'справка №1-БАЛАНС'!E3</f>
        <v>Булгар Чех Инвест Холдинг АД - Смолян</v>
      </c>
      <c r="F2" s="638"/>
      <c r="G2" s="638"/>
      <c r="H2" s="583"/>
      <c r="I2" s="440"/>
      <c r="J2" s="440"/>
      <c r="K2" s="440"/>
      <c r="L2" s="440"/>
      <c r="M2" s="633" t="s">
        <v>2</v>
      </c>
      <c r="N2" s="629"/>
      <c r="O2" s="629"/>
      <c r="P2" s="634">
        <f>'справка №1-БАЛАНС'!H3</f>
        <v>0</v>
      </c>
      <c r="Q2" s="634"/>
      <c r="R2" s="352"/>
    </row>
    <row r="3" spans="1:18" ht="15">
      <c r="A3" s="637" t="s">
        <v>5</v>
      </c>
      <c r="B3" s="630"/>
      <c r="C3" s="584"/>
      <c r="D3" s="584"/>
      <c r="E3" s="617" t="str">
        <f>'справка №1-БАЛАНС'!E5</f>
        <v> 2019 г. 31.03 - I-ВО ТРИМЕСЕЧИЕ 2019-КОНСОЛИДИРАН</v>
      </c>
      <c r="F3" s="639"/>
      <c r="G3" s="639"/>
      <c r="H3" s="442"/>
      <c r="I3" s="442"/>
      <c r="J3" s="442"/>
      <c r="K3" s="442"/>
      <c r="L3" s="442"/>
      <c r="M3" s="635" t="s">
        <v>4</v>
      </c>
      <c r="N3" s="635"/>
      <c r="O3" s="575"/>
      <c r="P3" s="636" t="str">
        <f>'справка №1-БАЛАНС'!H4</f>
        <v> </v>
      </c>
      <c r="Q3" s="636"/>
      <c r="R3" s="353"/>
    </row>
    <row r="4" spans="1:18" ht="12.75">
      <c r="A4" s="435" t="s">
        <v>523</v>
      </c>
      <c r="B4" s="441"/>
      <c r="C4" s="441"/>
      <c r="D4" s="442"/>
      <c r="E4" s="620"/>
      <c r="F4" s="621"/>
      <c r="G4" s="62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1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1" t="s">
        <v>529</v>
      </c>
      <c r="R5" s="631" t="s">
        <v>530</v>
      </c>
    </row>
    <row r="6" spans="1:18" s="44" customFormat="1" ht="48">
      <c r="A6" s="624"/>
      <c r="B6" s="625"/>
      <c r="C6" s="627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2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2"/>
      <c r="R6" s="632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214</v>
      </c>
      <c r="E9" s="242"/>
      <c r="F9" s="242"/>
      <c r="G9" s="113">
        <f>D9+E9-F9</f>
        <v>214</v>
      </c>
      <c r="H9" s="103"/>
      <c r="I9" s="103"/>
      <c r="J9" s="113">
        <f>G9+H9-I9</f>
        <v>214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214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4312</v>
      </c>
      <c r="E10" s="242"/>
      <c r="F10" s="242"/>
      <c r="G10" s="113">
        <f aca="true" t="shared" si="3" ref="G10:G39">D10+E10-F10</f>
        <v>4312</v>
      </c>
      <c r="H10" s="103"/>
      <c r="I10" s="103"/>
      <c r="J10" s="113">
        <f aca="true" t="shared" si="4" ref="J10:J39">G10+H10-I10</f>
        <v>4312</v>
      </c>
      <c r="K10" s="103">
        <v>1283</v>
      </c>
      <c r="L10" s="103">
        <v>1</v>
      </c>
      <c r="M10" s="103"/>
      <c r="N10" s="113">
        <f t="shared" si="0"/>
        <v>1284</v>
      </c>
      <c r="O10" s="103"/>
      <c r="P10" s="103"/>
      <c r="Q10" s="113">
        <f t="shared" si="1"/>
        <v>1284</v>
      </c>
      <c r="R10" s="113">
        <f t="shared" si="2"/>
        <v>3028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776</v>
      </c>
      <c r="E11" s="242">
        <v>1</v>
      </c>
      <c r="F11" s="242"/>
      <c r="G11" s="113">
        <f t="shared" si="3"/>
        <v>777</v>
      </c>
      <c r="H11" s="103"/>
      <c r="I11" s="103"/>
      <c r="J11" s="113">
        <f t="shared" si="4"/>
        <v>777</v>
      </c>
      <c r="K11" s="103">
        <v>746</v>
      </c>
      <c r="L11" s="103"/>
      <c r="M11" s="103"/>
      <c r="N11" s="113">
        <f t="shared" si="0"/>
        <v>746</v>
      </c>
      <c r="O11" s="103"/>
      <c r="P11" s="103"/>
      <c r="Q11" s="113">
        <f t="shared" si="1"/>
        <v>746</v>
      </c>
      <c r="R11" s="113">
        <f t="shared" si="2"/>
        <v>31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1005</v>
      </c>
      <c r="E12" s="242"/>
      <c r="F12" s="242"/>
      <c r="G12" s="113">
        <f t="shared" si="3"/>
        <v>1005</v>
      </c>
      <c r="H12" s="103"/>
      <c r="I12" s="103"/>
      <c r="J12" s="113">
        <f t="shared" si="4"/>
        <v>1005</v>
      </c>
      <c r="K12" s="103">
        <v>250</v>
      </c>
      <c r="L12" s="103"/>
      <c r="M12" s="103"/>
      <c r="N12" s="113">
        <f t="shared" si="0"/>
        <v>250</v>
      </c>
      <c r="O12" s="103"/>
      <c r="P12" s="103"/>
      <c r="Q12" s="113">
        <f t="shared" si="1"/>
        <v>250</v>
      </c>
      <c r="R12" s="113">
        <f t="shared" si="2"/>
        <v>755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177</v>
      </c>
      <c r="L13" s="103"/>
      <c r="M13" s="103"/>
      <c r="N13" s="113">
        <f t="shared" si="0"/>
        <v>177</v>
      </c>
      <c r="O13" s="103"/>
      <c r="P13" s="103"/>
      <c r="Q13" s="113">
        <f t="shared" si="1"/>
        <v>177</v>
      </c>
      <c r="R13" s="113">
        <f t="shared" si="2"/>
        <v>179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>
        <v>1</v>
      </c>
      <c r="F14" s="242"/>
      <c r="G14" s="113">
        <f t="shared" si="3"/>
        <v>149</v>
      </c>
      <c r="H14" s="103"/>
      <c r="I14" s="103"/>
      <c r="J14" s="113">
        <f t="shared" si="4"/>
        <v>149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856</v>
      </c>
      <c r="B15" s="465" t="s">
        <v>857</v>
      </c>
      <c r="C15" s="562" t="s">
        <v>858</v>
      </c>
      <c r="D15" s="563">
        <v>0</v>
      </c>
      <c r="E15" s="563">
        <v>6</v>
      </c>
      <c r="F15" s="563"/>
      <c r="G15" s="113">
        <f t="shared" si="3"/>
        <v>6</v>
      </c>
      <c r="H15" s="564"/>
      <c r="I15" s="564"/>
      <c r="J15" s="113">
        <f t="shared" si="4"/>
        <v>6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6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941</v>
      </c>
      <c r="E16" s="242"/>
      <c r="F16" s="242">
        <v>1</v>
      </c>
      <c r="G16" s="113">
        <f t="shared" si="3"/>
        <v>940</v>
      </c>
      <c r="H16" s="103"/>
      <c r="I16" s="103"/>
      <c r="J16" s="113">
        <f t="shared" si="4"/>
        <v>940</v>
      </c>
      <c r="K16" s="103">
        <v>364</v>
      </c>
      <c r="L16" s="103"/>
      <c r="M16" s="103"/>
      <c r="N16" s="113">
        <f t="shared" si="0"/>
        <v>364</v>
      </c>
      <c r="O16" s="103"/>
      <c r="P16" s="103"/>
      <c r="Q16" s="113">
        <f aca="true" t="shared" si="5" ref="Q16:Q25">N16+O16-P16</f>
        <v>364</v>
      </c>
      <c r="R16" s="113">
        <f aca="true" t="shared" si="6" ref="R16:R25">J16-Q16</f>
        <v>576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7752</v>
      </c>
      <c r="E17" s="247">
        <f>SUM(E9:E16)</f>
        <v>8</v>
      </c>
      <c r="F17" s="247">
        <f>SUM(F9:F16)</f>
        <v>1</v>
      </c>
      <c r="G17" s="113">
        <f t="shared" si="3"/>
        <v>7759</v>
      </c>
      <c r="H17" s="114">
        <f>SUM(H9:H16)</f>
        <v>0</v>
      </c>
      <c r="I17" s="114">
        <f>SUM(I9:I16)</f>
        <v>0</v>
      </c>
      <c r="J17" s="113">
        <f t="shared" si="4"/>
        <v>7759</v>
      </c>
      <c r="K17" s="114">
        <f>SUM(K9:K16)</f>
        <v>2968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2969</v>
      </c>
      <c r="O17" s="114">
        <f>SUM(O9:O16)</f>
        <v>0</v>
      </c>
      <c r="P17" s="114">
        <f>SUM(P9:P16)</f>
        <v>0</v>
      </c>
      <c r="Q17" s="113">
        <f t="shared" si="5"/>
        <v>2969</v>
      </c>
      <c r="R17" s="113">
        <f t="shared" si="6"/>
        <v>4790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2035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2035</v>
      </c>
      <c r="H27" s="109">
        <f t="shared" si="9"/>
        <v>0</v>
      </c>
      <c r="I27" s="109">
        <f t="shared" si="9"/>
        <v>0</v>
      </c>
      <c r="J27" s="110">
        <f t="shared" si="4"/>
        <v>2035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2035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0</v>
      </c>
      <c r="E28" s="242"/>
      <c r="F28" s="242"/>
      <c r="G28" s="113">
        <f t="shared" si="3"/>
        <v>0</v>
      </c>
      <c r="H28" s="103"/>
      <c r="I28" s="103"/>
      <c r="J28" s="113">
        <f t="shared" si="4"/>
        <v>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939</v>
      </c>
      <c r="E30" s="242"/>
      <c r="F30" s="242"/>
      <c r="G30" s="113">
        <f t="shared" si="3"/>
        <v>939</v>
      </c>
      <c r="H30" s="111"/>
      <c r="I30" s="111"/>
      <c r="J30" s="113">
        <f t="shared" si="4"/>
        <v>939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939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1096</v>
      </c>
      <c r="E31" s="242"/>
      <c r="F31" s="242"/>
      <c r="G31" s="113">
        <f t="shared" si="3"/>
        <v>1096</v>
      </c>
      <c r="H31" s="111"/>
      <c r="I31" s="111"/>
      <c r="J31" s="113">
        <f t="shared" si="4"/>
        <v>1096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1096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23</v>
      </c>
      <c r="E37" s="242"/>
      <c r="F37" s="242"/>
      <c r="G37" s="113">
        <f t="shared" si="3"/>
        <v>23</v>
      </c>
      <c r="H37" s="111"/>
      <c r="I37" s="111"/>
      <c r="J37" s="113">
        <f t="shared" si="4"/>
        <v>23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2058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2058</v>
      </c>
      <c r="H38" s="114">
        <f t="shared" si="13"/>
        <v>0</v>
      </c>
      <c r="I38" s="114">
        <f t="shared" si="13"/>
        <v>0</v>
      </c>
      <c r="J38" s="113">
        <f t="shared" si="4"/>
        <v>2058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2058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69</v>
      </c>
      <c r="E39" s="595"/>
      <c r="F39" s="595"/>
      <c r="G39" s="113">
        <f t="shared" si="3"/>
        <v>69</v>
      </c>
      <c r="H39" s="595"/>
      <c r="I39" s="595"/>
      <c r="J39" s="113">
        <f t="shared" si="4"/>
        <v>69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9922</v>
      </c>
      <c r="E40" s="545">
        <f>E17+E18+E19+E25+E38+E39</f>
        <v>8</v>
      </c>
      <c r="F40" s="545">
        <f aca="true" t="shared" si="14" ref="F40:R40">F17+F18+F19+F25+F38+F39</f>
        <v>1</v>
      </c>
      <c r="G40" s="545">
        <f t="shared" si="14"/>
        <v>9929</v>
      </c>
      <c r="H40" s="545">
        <f t="shared" si="14"/>
        <v>0</v>
      </c>
      <c r="I40" s="545">
        <f t="shared" si="14"/>
        <v>0</v>
      </c>
      <c r="J40" s="545">
        <f t="shared" si="14"/>
        <v>9929</v>
      </c>
      <c r="K40" s="545">
        <f t="shared" si="14"/>
        <v>3080</v>
      </c>
      <c r="L40" s="545">
        <f t="shared" si="14"/>
        <v>1</v>
      </c>
      <c r="M40" s="545">
        <f t="shared" si="14"/>
        <v>0</v>
      </c>
      <c r="N40" s="545">
        <f t="shared" si="14"/>
        <v>3081</v>
      </c>
      <c r="O40" s="545">
        <f t="shared" si="14"/>
        <v>0</v>
      </c>
      <c r="P40" s="545">
        <f t="shared" si="14"/>
        <v>0</v>
      </c>
      <c r="Q40" s="545">
        <f t="shared" si="14"/>
        <v>3081</v>
      </c>
      <c r="R40" s="545">
        <f t="shared" si="14"/>
        <v>6848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6848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09.05.2019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8"/>
      <c r="L44" s="628"/>
      <c r="M44" s="628"/>
      <c r="N44" s="628"/>
      <c r="O44" s="629" t="s">
        <v>781</v>
      </c>
      <c r="P44" s="630"/>
      <c r="Q44" s="630"/>
      <c r="R44" s="63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25">
      <selection activeCell="A107" sqref="A107:F10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3" t="s">
        <v>609</v>
      </c>
      <c r="B1" s="643"/>
      <c r="C1" s="643"/>
      <c r="D1" s="643"/>
      <c r="E1" s="643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4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4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5" t="str">
        <f>"Отчетен период:"&amp;"           "&amp;'справка №1-БАЛАНС'!E5</f>
        <v>Отчетен период:            2019 г. 31.03 - I-ВО ТРИМЕСЕЧИЕ 2019-КОНСОЛИДИРАН</v>
      </c>
      <c r="B4" s="645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1280</v>
      </c>
      <c r="D28" s="153">
        <v>179</v>
      </c>
      <c r="E28" s="166">
        <f t="shared" si="0"/>
        <v>1101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372</v>
      </c>
      <c r="D29" s="153"/>
      <c r="E29" s="166">
        <f t="shared" si="0"/>
        <v>372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76</v>
      </c>
      <c r="D30" s="153"/>
      <c r="E30" s="166">
        <f t="shared" si="0"/>
        <v>76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23</v>
      </c>
      <c r="D33" s="150">
        <f>SUM(D34:D37)</f>
        <v>6</v>
      </c>
      <c r="E33" s="167">
        <f>SUM(E34:E37)</f>
        <v>17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17</v>
      </c>
      <c r="D34" s="153"/>
      <c r="E34" s="166">
        <f t="shared" si="0"/>
        <v>17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194</v>
      </c>
      <c r="D38" s="150">
        <f>SUM(D39:D42)</f>
        <v>0</v>
      </c>
      <c r="E38" s="167">
        <f>SUM(E39:E42)</f>
        <v>194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194</v>
      </c>
      <c r="D42" s="153"/>
      <c r="E42" s="166">
        <f t="shared" si="0"/>
        <v>194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1945</v>
      </c>
      <c r="D43" s="149">
        <f>D24+D28+D29+D31+D30+D32+D33+D38</f>
        <v>185</v>
      </c>
      <c r="E43" s="164">
        <f>E24+E28+E29+E31+E30+E32+E33+E38</f>
        <v>1760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1945</v>
      </c>
      <c r="D44" s="148">
        <f>D43+D21+D19+D9</f>
        <v>185</v>
      </c>
      <c r="E44" s="164">
        <f>E43+E21+E19+E9</f>
        <v>1760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714</v>
      </c>
      <c r="D56" s="148">
        <f>D57+D59</f>
        <v>0</v>
      </c>
      <c r="E56" s="165">
        <f t="shared" si="1"/>
        <v>714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714</v>
      </c>
      <c r="D57" s="153">
        <v>0</v>
      </c>
      <c r="E57" s="165">
        <f t="shared" si="1"/>
        <v>714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1232</v>
      </c>
      <c r="D62" s="153"/>
      <c r="E62" s="165">
        <f t="shared" si="1"/>
        <v>1232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131</v>
      </c>
      <c r="D64" s="153"/>
      <c r="E64" s="165">
        <f t="shared" si="1"/>
        <v>131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2077</v>
      </c>
      <c r="D66" s="148">
        <f>D52+D56+D61+D62+D63+D64</f>
        <v>0</v>
      </c>
      <c r="E66" s="165">
        <f t="shared" si="1"/>
        <v>2077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728</v>
      </c>
      <c r="D85" s="149">
        <f>SUM(D86:D90)+D94</f>
        <v>381</v>
      </c>
      <c r="E85" s="149">
        <f>SUM(E86:E90)+E94</f>
        <v>347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29</v>
      </c>
      <c r="D86" s="153">
        <f>C86</f>
        <v>29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172</v>
      </c>
      <c r="D87" s="153">
        <f>C87</f>
        <v>172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409</v>
      </c>
      <c r="D88" s="153">
        <v>62</v>
      </c>
      <c r="E88" s="165">
        <f t="shared" si="1"/>
        <v>347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40</v>
      </c>
      <c r="D89" s="153">
        <f>C89</f>
        <v>40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66</v>
      </c>
      <c r="D90" s="148">
        <f>SUM(D91:D93)</f>
        <v>66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66</v>
      </c>
      <c r="D92" s="153">
        <f>C92</f>
        <v>66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12</v>
      </c>
      <c r="D94" s="153">
        <f>C94</f>
        <v>12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1235</v>
      </c>
      <c r="D95" s="153">
        <f>C95</f>
        <v>1235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1963</v>
      </c>
      <c r="D96" s="149">
        <f>D85+D80+D75+D71+D95</f>
        <v>1616</v>
      </c>
      <c r="E96" s="149">
        <f>E85+E80+E75+E71+E95</f>
        <v>347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4040</v>
      </c>
      <c r="D97" s="149">
        <f>D96+D68+D66</f>
        <v>1616</v>
      </c>
      <c r="E97" s="149">
        <f>E96+E68+E66</f>
        <v>2424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2" t="s">
        <v>780</v>
      </c>
      <c r="B107" s="642"/>
      <c r="C107" s="642"/>
      <c r="D107" s="642"/>
      <c r="E107" s="642"/>
      <c r="F107" s="64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1" t="str">
        <f>'справка №1-БАЛАНС'!A98</f>
        <v>Дата на съставяне: 09.05.2019 г</v>
      </c>
      <c r="B109" s="641"/>
      <c r="C109" s="641" t="s">
        <v>381</v>
      </c>
      <c r="D109" s="641"/>
      <c r="E109" s="641"/>
      <c r="F109" s="64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0" t="s">
        <v>781</v>
      </c>
      <c r="D111" s="640"/>
      <c r="E111" s="640"/>
      <c r="F111" s="640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9" sqref="D19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7" t="str">
        <f>'справка №1-БАЛАНС'!E3</f>
        <v>Булгар Чех Инвест Холдинг АД - Смолян</v>
      </c>
      <c r="D4" s="639"/>
      <c r="E4" s="639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7" t="str">
        <f>'справка №1-БАЛАНС'!E5</f>
        <v> 2019 г. 31.03 - I-ВО ТРИМЕСЕЧИЕ 2019-КОНСОЛИДИРАН</v>
      </c>
      <c r="D5" s="648"/>
      <c r="E5" s="648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№8'!C52+'справка №8'!C55+'справка №8'!C56+'справка №8'!C57+'справка №8'!C59</f>
        <v>310</v>
      </c>
      <c r="D12" s="141"/>
      <c r="E12" s="141"/>
      <c r="F12" s="141">
        <f>C12</f>
        <v>310</v>
      </c>
      <c r="G12" s="141"/>
      <c r="H12" s="141"/>
      <c r="I12" s="540">
        <f>F12+G12-H12</f>
        <v>310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№8'!C53+'справка №8'!C54+'справка №8'!C58</f>
        <v>638</v>
      </c>
      <c r="D16" s="141"/>
      <c r="E16" s="141"/>
      <c r="F16" s="141">
        <f>C16</f>
        <v>638</v>
      </c>
      <c r="G16" s="141"/>
      <c r="H16" s="141"/>
      <c r="I16" s="540">
        <f t="shared" si="0"/>
        <v>638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948</v>
      </c>
      <c r="D17" s="127">
        <f t="shared" si="1"/>
        <v>0</v>
      </c>
      <c r="E17" s="127">
        <f t="shared" si="1"/>
        <v>0</v>
      </c>
      <c r="F17" s="127">
        <f t="shared" si="1"/>
        <v>948</v>
      </c>
      <c r="G17" s="127">
        <f t="shared" si="1"/>
        <v>0</v>
      </c>
      <c r="H17" s="127">
        <f t="shared" si="1"/>
        <v>0</v>
      </c>
      <c r="I17" s="540">
        <f t="shared" si="0"/>
        <v>948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23</v>
      </c>
      <c r="G25" s="141"/>
      <c r="H25" s="141"/>
      <c r="I25" s="540">
        <f t="shared" si="0"/>
        <v>23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23</v>
      </c>
      <c r="G26" s="127">
        <f t="shared" si="2"/>
        <v>0</v>
      </c>
      <c r="H26" s="127">
        <f t="shared" si="2"/>
        <v>0</v>
      </c>
      <c r="I26" s="540">
        <f t="shared" si="0"/>
        <v>23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09.05.2019 г</v>
      </c>
      <c r="B30" s="647"/>
      <c r="C30" s="647"/>
      <c r="D30" s="566" t="s">
        <v>819</v>
      </c>
      <c r="E30" s="646"/>
      <c r="F30" s="646"/>
      <c r="G30" s="646"/>
      <c r="H30" s="518" t="s">
        <v>781</v>
      </c>
      <c r="I30" s="646"/>
      <c r="J30" s="646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46">
      <selection activeCell="A51" sqref="A51:F51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7" t="str">
        <f>'справка №1-БАЛАНС'!E3</f>
        <v>Булгар Чех Инвест Холдинг АД - Смолян</v>
      </c>
      <c r="C5" s="638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7" t="str">
        <f>'справка №1-БАЛАНС'!E5</f>
        <v> 2019 г. 31.03 - I-ВО ТРИМЕСЕЧИЕ 2019-КОНСОЛИДИРАН</v>
      </c>
      <c r="C6" s="648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5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1" t="s">
        <v>869</v>
      </c>
      <c r="B46" s="652"/>
      <c r="C46" s="652"/>
      <c r="D46" s="652"/>
      <c r="E46" s="652"/>
      <c r="F46" s="653"/>
    </row>
    <row r="47" spans="1:7" ht="12.75">
      <c r="A47" s="597" t="s">
        <v>861</v>
      </c>
      <c r="B47" s="70"/>
      <c r="C47" s="607">
        <v>0</v>
      </c>
      <c r="D47" s="598">
        <v>0</v>
      </c>
      <c r="E47" s="548"/>
      <c r="F47" s="550">
        <f>C47-E47</f>
        <v>0</v>
      </c>
      <c r="G47" s="604"/>
    </row>
    <row r="48" spans="1:7" ht="12.75">
      <c r="A48" s="597" t="s">
        <v>862</v>
      </c>
      <c r="B48" s="70"/>
      <c r="C48" s="607">
        <v>0</v>
      </c>
      <c r="D48" s="598">
        <v>0</v>
      </c>
      <c r="E48" s="548"/>
      <c r="F48" s="550">
        <f>C48-E48</f>
        <v>0</v>
      </c>
      <c r="G48" s="604"/>
    </row>
    <row r="49" spans="1:7" ht="12.75">
      <c r="A49" s="597" t="s">
        <v>866</v>
      </c>
      <c r="B49" s="67"/>
      <c r="C49" s="606">
        <v>0</v>
      </c>
      <c r="D49" s="598">
        <v>38.62</v>
      </c>
      <c r="E49" s="548"/>
      <c r="F49" s="550">
        <f>C49</f>
        <v>0</v>
      </c>
      <c r="G49" s="604"/>
    </row>
    <row r="50" spans="1:7" ht="12.75">
      <c r="A50" s="597" t="s">
        <v>867</v>
      </c>
      <c r="B50" s="67"/>
      <c r="C50" s="607">
        <v>0</v>
      </c>
      <c r="D50" s="598">
        <v>87.59</v>
      </c>
      <c r="E50" s="548"/>
      <c r="F50" s="550">
        <f>C50</f>
        <v>0</v>
      </c>
      <c r="G50" s="604"/>
    </row>
    <row r="51" spans="1:6" ht="16.5" customHeight="1">
      <c r="A51" s="651" t="s">
        <v>870</v>
      </c>
      <c r="B51" s="652"/>
      <c r="C51" s="652"/>
      <c r="D51" s="652"/>
      <c r="E51" s="652"/>
      <c r="F51" s="653"/>
    </row>
    <row r="52" spans="1:7" ht="12.75">
      <c r="A52" s="597" t="s">
        <v>868</v>
      </c>
      <c r="B52" s="67"/>
      <c r="C52" s="607">
        <v>39</v>
      </c>
      <c r="D52" s="598"/>
      <c r="E52" s="548"/>
      <c r="F52" s="550">
        <f aca="true" t="shared" si="2" ref="F52:F59">C52-E52</f>
        <v>39</v>
      </c>
      <c r="G52" s="604"/>
    </row>
    <row r="53" spans="1:7" ht="15" customHeight="1">
      <c r="A53" s="597" t="s">
        <v>872</v>
      </c>
      <c r="B53" s="70"/>
      <c r="C53" s="606">
        <v>161</v>
      </c>
      <c r="D53" s="548"/>
      <c r="E53" s="548"/>
      <c r="F53" s="550">
        <f t="shared" si="2"/>
        <v>161</v>
      </c>
      <c r="G53" s="604"/>
    </row>
    <row r="54" spans="1:7" ht="15" customHeight="1">
      <c r="A54" s="597" t="s">
        <v>873</v>
      </c>
      <c r="B54" s="70"/>
      <c r="C54" s="606">
        <v>422</v>
      </c>
      <c r="D54" s="548"/>
      <c r="E54" s="548"/>
      <c r="F54" s="550">
        <f t="shared" si="2"/>
        <v>422</v>
      </c>
      <c r="G54" s="604"/>
    </row>
    <row r="55" spans="1:7" ht="15" customHeight="1">
      <c r="A55" s="597" t="s">
        <v>874</v>
      </c>
      <c r="B55" s="70"/>
      <c r="C55" s="606">
        <v>59</v>
      </c>
      <c r="D55" s="548"/>
      <c r="E55" s="548"/>
      <c r="F55" s="550">
        <f t="shared" si="2"/>
        <v>59</v>
      </c>
      <c r="G55" s="604"/>
    </row>
    <row r="56" spans="1:7" ht="15" customHeight="1">
      <c r="A56" s="597" t="s">
        <v>875</v>
      </c>
      <c r="B56" s="70"/>
      <c r="C56" s="607">
        <v>7</v>
      </c>
      <c r="D56" s="548"/>
      <c r="E56" s="548"/>
      <c r="F56" s="550">
        <f t="shared" si="2"/>
        <v>7</v>
      </c>
      <c r="G56" s="604"/>
    </row>
    <row r="57" spans="1:7" ht="15" customHeight="1">
      <c r="A57" s="597" t="s">
        <v>876</v>
      </c>
      <c r="B57" s="70"/>
      <c r="C57" s="606">
        <v>5</v>
      </c>
      <c r="D57" s="548"/>
      <c r="E57" s="548"/>
      <c r="F57" s="550">
        <f t="shared" si="2"/>
        <v>5</v>
      </c>
      <c r="G57" s="604"/>
    </row>
    <row r="58" spans="1:7" ht="12.75">
      <c r="A58" s="597" t="s">
        <v>877</v>
      </c>
      <c r="B58" s="67"/>
      <c r="C58" s="606">
        <v>55</v>
      </c>
      <c r="D58" s="598"/>
      <c r="E58" s="548"/>
      <c r="F58" s="550">
        <f t="shared" si="2"/>
        <v>55</v>
      </c>
      <c r="G58" s="604"/>
    </row>
    <row r="59" spans="1:7" ht="12.75">
      <c r="A59" s="66" t="s">
        <v>878</v>
      </c>
      <c r="B59" s="67"/>
      <c r="C59" s="606">
        <v>200</v>
      </c>
      <c r="D59" s="598"/>
      <c r="E59" s="548"/>
      <c r="F59" s="550">
        <f t="shared" si="2"/>
        <v>200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948</v>
      </c>
      <c r="D62" s="535"/>
      <c r="E62" s="535">
        <f>SUM(E47:E61)</f>
        <v>0</v>
      </c>
      <c r="F62" s="549">
        <f>SUM(F47:F61)</f>
        <v>948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1" t="s">
        <v>869</v>
      </c>
      <c r="B64" s="652"/>
      <c r="C64" s="652"/>
      <c r="D64" s="652"/>
      <c r="E64" s="652"/>
      <c r="F64" s="652"/>
    </row>
    <row r="65" spans="1:6" ht="27" customHeight="1">
      <c r="A65" s="597" t="s">
        <v>871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956</v>
      </c>
      <c r="D71" s="535"/>
      <c r="E71" s="535">
        <f>E70+E62+E44+E27</f>
        <v>0</v>
      </c>
      <c r="F71" s="549">
        <f>F70+F62+F44+F27</f>
        <v>956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09.05.2019 г</v>
      </c>
      <c r="B143" s="559"/>
      <c r="C143" s="649" t="s">
        <v>849</v>
      </c>
      <c r="D143" s="649"/>
      <c r="E143" s="649"/>
      <c r="F143" s="649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9" t="s">
        <v>855</v>
      </c>
      <c r="D145" s="649"/>
      <c r="E145" s="649"/>
      <c r="F145" s="649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65:F69 C52:F61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2019-02-27T15:13:48Z</cp:lastPrinted>
  <dcterms:created xsi:type="dcterms:W3CDTF">2000-06-29T12:02:40Z</dcterms:created>
  <dcterms:modified xsi:type="dcterms:W3CDTF">2019-05-29T06:12:29Z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