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<sst xmlns="http://schemas.openxmlformats.org/spreadsheetml/2006/main" count="1072" uniqueCount="896">
  <si>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</si>
  <si>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</si>
  <si>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</si>
  <si>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</si>
  <si>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</si>
  <si>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</si>
  <si>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</si>
  <si>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</si>
  <si>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</si>
  <si>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</si>
  <si>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</si>
  <si>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</si>
  <si>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</si>
  <si>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</si>
  <si>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</si>
  <si>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</si>
  <si>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</si>
  <si>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</si>
  <si>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</si>
  <si>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</si>
  <si>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</si>
  <si>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</si>
  <si>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</si>
  <si>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</si>
  <si>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</si>
  <si>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</si>
  <si>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</si>
  <si>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</si>
  <si>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</si>
  <si>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</si>
  <si>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</si>
  <si>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</si>
  <si>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</si>
  <si>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</si>
  <si>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</si>
  <si>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</si>
  <si>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</si>
  <si>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</si>
  <si>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</si>
  <si>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</si>
  <si>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</si>
  <si>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</si>
  <si>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</si>
  <si>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</si>
  <si>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</si>
  <si>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</si>
  <si>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</si>
  <si>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</si>
  <si>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</si>
  <si>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</si>
  <si>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</si>
  <si>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</si>
  <si>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</si>
  <si>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</si>
  <si>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</si>
  <si>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</si>
  <si>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</si>
  <si>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</si>
  <si>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</si>
  <si>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</si>
  <si>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</si>
  <si>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</si>
  <si>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</si>
  <si>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</si>
  <si>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</si>
  <si>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</si>
  <si>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</si>
  <si>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</si>
  <si>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</si>
  <si>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</si>
  <si>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</si>
  <si>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</si>
  <si>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</si>
  <si>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</si>
  <si>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</si>
  <si>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</si>
  <si>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</si>
  <si>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</si>
  <si>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</si>
  <si>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</si>
  <si>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</si>
  <si>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</si>
  <si>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</si>
  <si>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</si>
  <si>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</si>
  <si>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</si>
  <si>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</si>
  <si>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</si>
  <si>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</si>
  <si>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</si>
  <si>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</si>
  <si>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</si>
  <si>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</si>
  <si>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</si>
  <si>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</si>
  <si>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</si>
  <si>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</si>
  <si>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</si>
  <si>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</si>
  <si>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</si>
  <si>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</si>
  <si>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</si>
  <si>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</si>
  <si>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</si>
  <si>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</si>
  <si>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</si>
  <si>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</si>
  <si>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</si>
  <si>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</si>
  <si>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</si>
  <si>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</si>
  <si>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</si>
  <si>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</si>
  <si>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</si>
  <si>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</si>
  <si>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</si>
  <si>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</si>
  <si>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</si>
  <si>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</si>
  <si>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</si>
  <si>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</si>
  <si>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</si>
  <si>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</si>
  <si>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</si>
  <si>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</si>
  <si>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</si>
  <si>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</si>
  <si>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</si>
  <si>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</si>
  <si>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</si>
  <si>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</si>
  <si>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</si>
  <si>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</si>
  <si>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</si>
  <si>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</si>
  <si>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</si>
  <si>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</si>
  <si>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</si>
  <si>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</si>
  <si>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</si>
  <si>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</si>
  <si>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</si>
  <si>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</si>
  <si>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</si>
  <si>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</si>
  <si>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</si>
  <si>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</si>
  <si>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</si>
  <si>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</si>
  <si>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</si>
  <si>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</si>
  <si>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</si>
  <si>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</si>
  <si>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</si>
  <si>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</si>
  <si>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</si>
  <si>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</si>
  <si>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</si>
  <si>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</si>
  <si>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</si>
  <si>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</si>
  <si>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</si>
  <si>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</si>
  <si>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</si>
  <si>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</si>
  <si>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</si>
  <si>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</si>
  <si>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</si>
  <si>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</si>
  <si>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</si>
  <si>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</si>
  <si>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</si>
  <si>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</si>
  <si>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</si>
  <si>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</si>
  <si>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</si>
  <si>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</si>
  <si>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</si>
  <si>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</si>
  <si>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</si>
  <si>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</si>
  <si>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</si>
  <si>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</si>
  <si>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</si>
  <si>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</si>
  <si>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</si>
  <si>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</si>
  <si>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</si>
  <si>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</si>
  <si>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</si>
  <si>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</si>
  <si>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</si>
  <si>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</si>
  <si>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</si>
  <si>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</si>
  <si>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</si>
  <si>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</si>
  <si>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</si>
  <si>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</si>
  <si>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</si>
  <si>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</si>
  <si>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</si>
  <si>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</si>
  <si>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</si>
  <si>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</si>
  <si>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</si>
  <si>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</si>
  <si>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</si>
  <si>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</si>
  <si>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</si>
  <si>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</si>
  <si>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</si>
  <si>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</si>
  <si>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</si>
  <si>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</si>
  <si>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</si>
  <si>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</si>
  <si>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</si>
  <si>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</si>
  <si>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</si>
  <si>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</si>
  <si>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</si>
  <si>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</si>
  <si>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</si>
  <si>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</si>
  <si>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</si>
  <si>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</si>
  <si>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</si>
  <si>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</si>
  <si>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</si>
  <si>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</si>
  <si>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</si>
  <si>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</si>
  <si>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</si>
  <si>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</si>
  <si>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</si>
  <si>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</si>
  <si>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</si>
  <si>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</si>
  <si>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</si>
  <si>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</si>
  <si>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</si>
  <si>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</si>
  <si>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</si>
  <si>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</si>
  <si>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</si>
  <si>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</si>
  <si>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</si>
  <si>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</si>
  <si>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</si>
  <si>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</si>
  <si>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</si>
  <si>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</si>
  <si>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</si>
  <si>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</si>
  <si>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</si>
  <si>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</si>
  <si>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</si>
  <si>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</si>
  <si>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</si>
  <si>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</si>
  <si>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</si>
  <si>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</si>
  <si>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</si>
  <si>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</si>
  <si>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</si>
  <si>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</si>
  <si>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</si>
  <si>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</si>
  <si>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</si>
  <si>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</si>
  <si>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</si>
  <si>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</si>
  <si>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</si>
  <si>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</si>
  <si>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</si>
  <si>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</si>
  <si>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</si>
  <si>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</si>
  <si>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</si>
  <si>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</si>
  <si>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</si>
  <si>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</si>
  <si>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</si>
  <si>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</si>
  <si>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</si>
  <si>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</si>
  <si>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</si>
  <si>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</si>
  <si>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</si>
  <si>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</si>
  <si>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</si>
  <si>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</si>
  <si>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</si>
  <si>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</si>
  <si>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</si>
  <si>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</si>
  <si>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</si>
  <si>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</si>
  <si>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</si>
  <si>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</si>
  <si>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</si>
  <si>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</si>
  <si>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</si>
  <si>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</si>
  <si>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</si>
  <si>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</si>
  <si>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</si>
  <si>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</si>
  <si>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</si>
  <si>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</si>
  <si>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</si>
  <si>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</si>
  <si>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</si>
  <si>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</si>
  <si>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</si>
  <si>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</si>
  <si>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</si>
  <si>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</si>
  <si>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</si>
  <si>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</si>
  <si>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</si>
  <si>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</si>
  <si>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</si>
  <si>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</si>
  <si>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</si>
  <si>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</si>
  <si>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</si>
  <si>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</si>
  <si>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</si>
  <si>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</si>
  <si>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</si>
  <si>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</si>
  <si>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</si>
  <si>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</si>
  <si>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</si>
  <si>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</si>
  <si>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</si>
  <si>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</si>
  <si>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</si>
  <si>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</si>
  <si>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</si>
  <si>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</si>
  <si>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</si>
  <si>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</si>
  <si>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</si>
  <si>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</si>
  <si>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</si>
  <si>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</si>
  <si>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</si>
  <si>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</si>
  <si>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</si>
  <si>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</si>
  <si>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</si>
  <si>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</si>
  <si>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</si>
  <si>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</si>
  <si>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</si>
  <si>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</si>
  <si>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</si>
  <si>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</si>
  <si>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</si>
  <si>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</si>
  <si>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</si>
  <si>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</si>
  <si>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</si>
  <si>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</si>
  <si>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</si>
  <si>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</si>
  <si>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</si>
  <si>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</si>
  <si>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</si>
  <si>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</si>
  <si>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</si>
  <si>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</si>
  <si>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</si>
  <si>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</si>
  <si>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</si>
  <si>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</si>
  <si>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</si>
  <si>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</si>
  <si>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</si>
  <si>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</si>
  <si>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</si>
  <si>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</si>
  <si>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</si>
  <si>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</si>
  <si>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</si>
  <si>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</si>
  <si>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</si>
  <si>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</si>
  <si>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</si>
  <si>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</si>
  <si>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</si>
  <si>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</si>
  <si>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</si>
  <si>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</si>
  <si>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</si>
  <si>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</si>
  <si>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</si>
  <si>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</si>
  <si>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</si>
  <si>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</si>
  <si>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</si>
  <si>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</si>
  <si>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</si>
  <si>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</si>
  <si>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</si>
  <si>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</si>
  <si>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</si>
  <si>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</si>
  <si>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</si>
  <si>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</si>
  <si>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</si>
  <si>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</si>
  <si>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</si>
  <si>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</si>
  <si>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</si>
  <si>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</si>
  <si>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</si>
  <si>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</si>
  <si>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</si>
  <si>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</si>
  <si>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</si>
  <si>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</si>
  <si>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</si>
  <si>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</si>
  <si>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</si>
  <si>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</si>
  <si>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</si>
  <si>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</si>
  <si>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</si>
  <si>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</si>
  <si>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</si>
  <si>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</si>
  <si>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</si>
  <si>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</si>
  <si>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</si>
  <si>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</si>
  <si>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</si>
  <si>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</si>
  <si>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</si>
  <si>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</si>
  <si>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</si>
  <si>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</si>
  <si>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</si>
  <si>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</si>
  <si>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</si>
  <si>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</si>
  <si>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</si>
  <si>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</si>
  <si>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</si>
  <si>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</si>
  <si>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</si>
  <si>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</si>
  <si>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</si>
  <si>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</si>
  <si>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</si>
  <si>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</si>
  <si>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</si>
  <si>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</si>
  <si>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</si>
  <si>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</si>
  <si>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</si>
  <si>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</si>
  <si>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</si>
  <si>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</si>
  <si>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</si>
  <si>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</si>
  <si>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</si>
  <si>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</si>
  <si>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</si>
  <si>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</si>
  <si>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</si>
  <si>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</si>
  <si>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</si>
  <si>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</si>
  <si>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</si>
  <si>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</si>
  <si>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</si>
  <si>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</si>
  <si>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</si>
  <si>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</si>
  <si>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</si>
  <si>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</si>
  <si>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</si>
  <si>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</si>
  <si>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</si>
  <si>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</si>
  <si>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</si>
  <si>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</si>
  <si>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</si>
  <si>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</si>
  <si>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</si>
  <si>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</si>
  <si>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</si>
  <si>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</si>
  <si>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</si>
  <si>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</si>
  <si>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</si>
  <si>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</si>
  <si>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</si>
  <si>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</si>
  <si>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</si>
  <si>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</si>
  <si>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</si>
  <si>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</si>
  <si>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</si>
  <si>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</si>
  <si>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</si>
  <si>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</si>
  <si>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</si>
  <si>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</si>
  <si>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</si>
  <si>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</si>
  <si>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</si>
  <si>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</si>
  <si>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</si>
  <si>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</si>
  <si>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</si>
  <si>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</si>
  <si>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</si>
  <si>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</si>
  <si>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</si>
  <si>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</si>
  <si>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</si>
  <si>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</si>
  <si>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</si>
  <si>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</si>
  <si>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</si>
  <si>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</si>
  <si>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</si>
  <si>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</si>
  <si>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</si>
  <si>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</si>
  <si>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</si>
  <si>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</si>
  <si>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</si>
  <si>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</si>
  <si>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</si>
  <si>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</si>
  <si>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</si>
  <si>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</si>
  <si>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</si>
  <si>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</si>
  <si>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</si>
  <si>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</si>
  <si>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</si>
  <si>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</si>
  <si>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</si>
  <si>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</si>
  <si>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</si>
  <si>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</si>
  <si>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</si>
  <si>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</si>
  <si>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</si>
  <si>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</si>
  <si>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</si>
  <si>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</si>
  <si>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</si>
  <si>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</si>
  <si>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</si>
  <si>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</si>
  <si>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</si>
  <si>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</si>
  <si>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</si>
  <si>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</si>
  <si>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</si>
  <si>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</si>
  <si>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</si>
  <si>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</si>
  <si>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</si>
  <si>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</si>
  <si>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</si>
  <si>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</si>
  <si>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</si>
  <si>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</si>
  <si>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</si>
  <si>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</si>
  <si>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</si>
  <si>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</si>
  <si>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</si>
  <si>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</si>
  <si>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</si>
  <si>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</si>
  <si>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</si>
  <si>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</si>
  <si>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</si>
  <si>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</si>
  <si>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</si>
  <si>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</si>
  <si>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</si>
  <si>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</si>
  <si>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</si>
  <si>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</si>
  <si>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</si>
  <si>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</si>
  <si>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</si>
  <si>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</si>
  <si>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</si>
  <si>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</si>
  <si>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</si>
  <si>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</si>
  <si>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</si>
  <si>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</si>
  <si>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</si>
  <si>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</si>
  <si>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</si>
  <si>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</si>
  <si>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</si>
  <si>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</si>
  <si>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</si>
  <si>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</si>
  <si>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</si>
  <si>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</si>
  <si>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</si>
  <si>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</si>
  <si>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</si>
  <si>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</si>
  <si>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</si>
  <si>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</si>
  <si>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</si>
  <si>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</si>
  <si>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</si>
  <si>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</si>
  <si>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</si>
  <si>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</si>
  <si>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</si>
  <si>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</si>
  <si>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</si>
  <si>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</si>
  <si>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</si>
  <si>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</si>
  <si>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</si>
  <si>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</si>
  <si>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</si>
  <si>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</si>
  <si>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</si>
  <si>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</si>
  <si>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</si>
  <si>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</si>
  <si>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</si>
  <si>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</si>
  <si>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</si>
  <si>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</si>
  <si>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</si>
  <si>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</si>
  <si>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</si>
  <si>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</si>
  <si>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</si>
  <si>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</si>
  <si>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</si>
  <si>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</si>
  <si>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</si>
  <si>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</si>
  <si>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</si>
  <si>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</si>
  <si>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</si>
  <si>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</si>
  <si>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</si>
  <si>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</si>
  <si>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</si>
  <si>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</si>
  <si>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</si>
  <si>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</si>
  <si>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</si>
  <si>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</si>
  <si>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</si>
  <si>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</si>
  <si>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</si>
  <si>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</si>
  <si>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</si>
  <si>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</si>
  <si>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</si>
  <si>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</si>
  <si>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</si>
  <si>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</si>
  <si>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</si>
  <si>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</si>
  <si>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</si>
  <si>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</si>
  <si>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</si>
  <si>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</si>
  <si>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</si>
  <si>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</si>
  <si>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</si>
  <si>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</si>
  <si>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</si>
  <si>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</si>
  <si>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</si>
  <si>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</si>
  <si>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</si>
  <si>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</si>
  <si>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</si>
  <si>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</si>
  <si>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</si>
  <si>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</si>
  <si>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</si>
  <si>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</si>
  <si>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</si>
  <si>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</si>
  <si>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</si>
  <si>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</si>
  <si>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</si>
  <si>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</si>
  <si>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</si>
  <si>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</si>
  <si>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</si>
  <si>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</si>
  <si>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</si>
  <si>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</si>
  <si>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</si>
  <si>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</si>
  <si>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</si>
  <si>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</si>
  <si>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</si>
  <si>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</si>
  <si>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</si>
  <si>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</si>
  <si>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</si>
  <si>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</si>
  <si>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</si>
  <si>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</si>
  <si>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</si>
  <si>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</si>
  <si>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</si>
  <si>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</si>
  <si>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</si>
  <si>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</si>
  <si>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</si>
  <si>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</si>
  <si>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</si>
  <si>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</si>
  <si>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</si>
  <si>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</si>
  <si>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</si>
  <si>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</si>
  <si>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</si>
  <si>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</si>
  <si>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</si>
  <si>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</si>
  <si>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</si>
  <si>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</si>
  <si>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</si>
  <si>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</si>
  <si>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</si>
  <si>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</si>
  <si>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</si>
  <si>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</si>
  <si>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</si>
  <si>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</si>
  <si>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</si>
  <si>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</si>
  <si>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</si>
  <si>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</si>
  <si>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</si>
  <si>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</si>
  <si>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</si>
  <si>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</si>
  <si>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</si>
  <si>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</si>
  <si>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</si>
  <si>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</si>
  <si>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</si>
  <si>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</si>
  <si>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</si>
  <si>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</si>
  <si>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</si>
  <si>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</si>
  <si>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</si>
  <si>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</si>
  <si>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</si>
  <si>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</si>
  <si>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</si>
  <si>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</si>
  <si>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</si>
  <si>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</si>
  <si>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</si>
  <si>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</si>
  <si>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</si>
  <si>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</si>
  <si>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</si>
  <si>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</si>
  <si>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</si>
  <si>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</si>
  <si>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</si>
  <si>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</si>
  <si>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</si>
  <si>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</si>
  <si>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</si>
  <si>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</si>
  <si>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</si>
  <si>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</si>
  <si>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</si>
  <si>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</si>
  <si>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</si>
  <si>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</si>
  <si>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</si>
  <si>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</si>
  <si>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</si>
  <si>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</si>
  <si>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</si>
  <si>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</si>
  <si>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</si>
  <si>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</si>
  <si>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</si>
  <si>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</si>
  <si>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</si>
  <si>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</si>
  <si>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</si>
  <si>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</si>
  <si>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</si>
  <si>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</si>
  <si>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</si>
  <si>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</si>
  <si>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</si>
  <si>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</si>
  <si>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</si>
  <si>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</si>
  <si>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</si>
  <si>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</si>
  <si>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</si>
  <si>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</si>
  <si>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</si>
  <si>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</si>
  <si>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</si>
  <si>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</si>
  <si>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</si>
  <si>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</si>
  <si>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</si>
  <si>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</si>
  <si>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</si>
  <si>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</si>
  <si>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</si>
  <si>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</si>
  <si>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</si>
  <si>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</si>
  <si>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</si>
  <si>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</si>
  <si>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</si>
  <si>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</si>
  <si>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</si>
  <si>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</si>
  <si>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</si>
  <si>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</si>
  <si>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</si>
  <si>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</si>
  <si>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</si>
  <si>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</si>
  <si>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</si>
  <si>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</si>
  <si>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</si>
  <si>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</si>
  <si>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</si>
  <si>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</si>
  <si>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</si>
  <si>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</si>
  <si>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</si>
  <si>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</si>
  <si>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</si>
  <si>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</si>
  <si>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</si>
  <si>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</si>
  <si>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</si>
  <si>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</si>
  <si>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</si>
  <si>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</si>
  <si>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</si>
  <si>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Ел.Атанасова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</si>
  <si>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</si>
  <si>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</si>
  <si>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</si>
  <si>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</si>
  <si>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</si>
  <si>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</si>
  <si>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 Албенаинвест Холдинг</t>
  </si>
  <si>
    <t>2. ЗПАД България</t>
  </si>
  <si>
    <t>3. Sunny greens</t>
  </si>
  <si>
    <t>4. Химко Враца</t>
  </si>
  <si>
    <t>5. Кремиковци АД</t>
  </si>
  <si>
    <t>1.Албена Автотранс</t>
  </si>
  <si>
    <t>2.Здравно Учреждение Медика-Албена</t>
  </si>
  <si>
    <t>.</t>
  </si>
  <si>
    <t>3. Бялата лагуна АД</t>
  </si>
  <si>
    <t>4. МЦ Медика Албена  ЕАД</t>
  </si>
  <si>
    <t>5.Албена Тур EАД</t>
  </si>
  <si>
    <t>6. Диализен център  ЕООД</t>
  </si>
  <si>
    <t>7. Тихия кът АД</t>
  </si>
  <si>
    <t>8. Екоплод ООД</t>
  </si>
  <si>
    <t>9.Интерскай АД</t>
  </si>
  <si>
    <t xml:space="preserve">Дата на съставяне:20.10.2011 г.                      </t>
  </si>
  <si>
    <t>Дата на съставяне: 25.10.2011 г.</t>
  </si>
  <si>
    <t xml:space="preserve">Дата на съставяне: 25.10.2011 г.                                    </t>
  </si>
  <si>
    <t xml:space="preserve">Дата  на съставяне:25.10.2011 г.                                                                                                                              </t>
  </si>
  <si>
    <t>Дата на съставяне: 26.10.2011 г.</t>
  </si>
  <si>
    <t>Дата на съставяне:26.10.2011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</si>
</sst>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5" zoomScaleNormal="85" workbookViewId="0" topLeftCell="A1">
      <selection activeCell="A6" sqref="A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872</v>
      </c>
      <c r="B4" s="582"/>
      <c r="C4" s="582"/>
      <c r="D4" s="583"/>
      <c r="E4" s="575" t="s">
        <v>871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40816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51543</v>
      </c>
      <c r="D11" s="205">
        <v>50859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274102</v>
      </c>
      <c r="D12" s="205">
        <v>273943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5256</v>
      </c>
      <c r="D13" s="205">
        <v>6455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29179</v>
      </c>
      <c r="D14" s="205">
        <v>29882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983</v>
      </c>
      <c r="D15" s="205">
        <v>1014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4307</v>
      </c>
      <c r="D16" s="205">
        <v>6025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3338</v>
      </c>
      <c r="D17" s="205">
        <v>2946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368708</v>
      </c>
      <c r="D19" s="209">
        <f>SUM(D11:D18)</f>
        <v>371124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12491</v>
      </c>
      <c r="D20" s="205">
        <v>13367</v>
      </c>
      <c r="E20" s="293" t="s">
        <v>56</v>
      </c>
      <c r="F20" s="298" t="s">
        <v>57</v>
      </c>
      <c r="G20" s="212">
        <v>80958</v>
      </c>
      <c r="H20" s="212">
        <v>81017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198113</v>
      </c>
      <c r="H21" s="210">
        <f>SUM(H22:H24)</f>
        <v>190227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268</v>
      </c>
      <c r="D24" s="205">
        <v>453</v>
      </c>
      <c r="E24" s="293" t="s">
        <v>71</v>
      </c>
      <c r="F24" s="298" t="s">
        <v>72</v>
      </c>
      <c r="G24" s="206">
        <v>197686</v>
      </c>
      <c r="H24" s="206">
        <v>189800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279071</v>
      </c>
      <c r="H25" s="208">
        <f>H19+H20+H21</f>
        <v>271244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1029</v>
      </c>
      <c r="D26" s="205">
        <v>1163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1297</v>
      </c>
      <c r="D27" s="209">
        <f>SUM(D23:D26)</f>
        <v>1616</v>
      </c>
      <c r="E27" s="309" t="s">
        <v>82</v>
      </c>
      <c r="F27" s="298" t="s">
        <v>83</v>
      </c>
      <c r="G27" s="208">
        <f>SUM(G28:G30)</f>
        <v>45777</v>
      </c>
      <c r="H27" s="208">
        <f>SUM(H28:H30)</f>
        <v>45692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45777</v>
      </c>
      <c r="H28" s="206">
        <v>45692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13367</v>
      </c>
      <c r="H31" s="206">
        <v>9337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59144</v>
      </c>
      <c r="H33" s="208">
        <f>H27+H31+H32</f>
        <v>55029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49619</v>
      </c>
      <c r="D34" s="209">
        <f>SUM(D35:D38)</f>
        <v>49619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47498</v>
      </c>
      <c r="D35" s="205">
        <v>47498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340952</v>
      </c>
      <c r="H36" s="208">
        <f>H25+H17+H33</f>
        <v>329010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5775</v>
      </c>
      <c r="H43" s="206">
        <v>5775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79641</v>
      </c>
      <c r="H44" s="206">
        <v>79611</v>
      </c>
    </row>
    <row r="45" spans="1:15" ht="15">
      <c r="A45" s="291" t="s">
        <v>135</v>
      </c>
      <c r="B45" s="305" t="s">
        <v>136</v>
      </c>
      <c r="C45" s="209">
        <f>C34+C39+C44</f>
        <v>49619</v>
      </c>
      <c r="D45" s="209">
        <f>D34+D39+D44</f>
        <v>49619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5941</v>
      </c>
      <c r="D47" s="205">
        <v>2570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454</v>
      </c>
      <c r="H48" s="206">
        <v>295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85870</v>
      </c>
      <c r="H49" s="208">
        <f>SUM(H43:H48)</f>
        <v>85681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1087</v>
      </c>
      <c r="D50" s="205">
        <v>1924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7028</v>
      </c>
      <c r="D51" s="209">
        <f>SUM(D47:D50)</f>
        <v>4494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14227</v>
      </c>
      <c r="H53" s="206">
        <v>14227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439143</v>
      </c>
      <c r="D55" s="209">
        <f>D19+D20+D21+D27+D32+D45+D51+D53+D54</f>
        <v>440220</v>
      </c>
      <c r="E55" s="293" t="s">
        <v>171</v>
      </c>
      <c r="F55" s="317" t="s">
        <v>172</v>
      </c>
      <c r="G55" s="208">
        <f>G49+G51+G52+G53+G54</f>
        <v>100097</v>
      </c>
      <c r="H55" s="208">
        <f>H49+H51+H52+H53+H54</f>
        <v>99908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1832</v>
      </c>
      <c r="D58" s="205">
        <v>1647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1122</v>
      </c>
      <c r="H59" s="206">
        <v>19483</v>
      </c>
      <c r="M59" s="211"/>
    </row>
    <row r="60" spans="1:8" ht="15">
      <c r="A60" s="291" t="s">
        <v>182</v>
      </c>
      <c r="B60" s="297" t="s">
        <v>183</v>
      </c>
      <c r="C60" s="205">
        <v>910</v>
      </c>
      <c r="D60" s="205">
        <v>822</v>
      </c>
      <c r="E60" s="293" t="s">
        <v>184</v>
      </c>
      <c r="F60" s="298" t="s">
        <v>185</v>
      </c>
      <c r="G60" s="206">
        <v>667</v>
      </c>
      <c r="H60" s="206">
        <v>1683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16077</v>
      </c>
      <c r="H61" s="208">
        <f>SUM(H62:H68)</f>
        <v>8752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3285</v>
      </c>
      <c r="H62" s="206">
        <v>2877</v>
      </c>
    </row>
    <row r="63" spans="1:13" ht="15">
      <c r="A63" s="291" t="s">
        <v>194</v>
      </c>
      <c r="B63" s="297" t="s">
        <v>195</v>
      </c>
      <c r="C63" s="205">
        <v>33</v>
      </c>
      <c r="D63" s="205">
        <v>25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2775</v>
      </c>
      <c r="D64" s="209">
        <f>SUM(D58:D63)</f>
        <v>2494</v>
      </c>
      <c r="E64" s="293" t="s">
        <v>199</v>
      </c>
      <c r="F64" s="298" t="s">
        <v>200</v>
      </c>
      <c r="G64" s="206">
        <v>8327</v>
      </c>
      <c r="H64" s="206">
        <v>3049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2431</v>
      </c>
      <c r="H65" s="206">
        <v>2332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1314</v>
      </c>
      <c r="H66" s="206">
        <v>309</v>
      </c>
    </row>
    <row r="67" spans="1:8" ht="15">
      <c r="A67" s="291" t="s">
        <v>206</v>
      </c>
      <c r="B67" s="297" t="s">
        <v>207</v>
      </c>
      <c r="C67" s="205">
        <v>6459</v>
      </c>
      <c r="D67" s="205">
        <v>5604</v>
      </c>
      <c r="E67" s="293" t="s">
        <v>208</v>
      </c>
      <c r="F67" s="298" t="s">
        <v>209</v>
      </c>
      <c r="G67" s="206">
        <v>474</v>
      </c>
      <c r="H67" s="206">
        <v>74</v>
      </c>
    </row>
    <row r="68" spans="1:8" ht="15">
      <c r="A68" s="291" t="s">
        <v>210</v>
      </c>
      <c r="B68" s="297" t="s">
        <v>211</v>
      </c>
      <c r="C68" s="205">
        <v>9699</v>
      </c>
      <c r="D68" s="205">
        <v>3104</v>
      </c>
      <c r="E68" s="293" t="s">
        <v>212</v>
      </c>
      <c r="F68" s="298" t="s">
        <v>213</v>
      </c>
      <c r="G68" s="206">
        <v>246</v>
      </c>
      <c r="H68" s="206">
        <v>111</v>
      </c>
    </row>
    <row r="69" spans="1:8" ht="15">
      <c r="A69" s="291" t="s">
        <v>214</v>
      </c>
      <c r="B69" s="297" t="s">
        <v>215</v>
      </c>
      <c r="C69" s="205">
        <v>1040</v>
      </c>
      <c r="D69" s="205">
        <v>931</v>
      </c>
      <c r="E69" s="307" t="s">
        <v>77</v>
      </c>
      <c r="F69" s="298" t="s">
        <v>216</v>
      </c>
      <c r="G69" s="206">
        <v>2747</v>
      </c>
      <c r="H69" s="206">
        <v>452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576</v>
      </c>
      <c r="D71" s="205">
        <v>619</v>
      </c>
      <c r="E71" s="309" t="s">
        <v>45</v>
      </c>
      <c r="F71" s="329" t="s">
        <v>223</v>
      </c>
      <c r="G71" s="215">
        <f>G59+G60+G61+G69+G70</f>
        <v>20613</v>
      </c>
      <c r="H71" s="215">
        <f>H59+H60+H61+H69+H70</f>
        <v>30370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56</v>
      </c>
      <c r="D72" s="205">
        <v>362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756</v>
      </c>
      <c r="D74" s="205">
        <v>362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18586</v>
      </c>
      <c r="D75" s="209">
        <f>SUM(D67:D74)</f>
        <v>10982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20613</v>
      </c>
      <c r="H79" s="216">
        <f>H71+H74+H75+H76</f>
        <v>30370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240</v>
      </c>
      <c r="D87" s="205">
        <v>15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880</v>
      </c>
      <c r="D88" s="205">
        <v>5542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38</v>
      </c>
      <c r="D89" s="205">
        <v>35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1158</v>
      </c>
      <c r="D91" s="209">
        <f>SUM(D87:D90)</f>
        <v>5592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22519</v>
      </c>
      <c r="D93" s="209">
        <f>D64+D75+D84+D91+D92</f>
        <v>19068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461662</v>
      </c>
      <c r="D94" s="218">
        <f>D93+D55</f>
        <v>459288</v>
      </c>
      <c r="E94" s="557" t="s">
        <v>269</v>
      </c>
      <c r="F94" s="345" t="s">
        <v>270</v>
      </c>
      <c r="G94" s="219">
        <f>G36+G39+G55+G79</f>
        <v>461662</v>
      </c>
      <c r="H94" s="219">
        <f>H36+H39+H55+H79</f>
        <v>459288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891</v>
      </c>
      <c r="B98" s="539"/>
      <c r="C98" s="613" t="s">
        <v>817</v>
      </c>
      <c r="D98" s="613"/>
      <c r="E98" s="613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3" t="s">
        <v>779</v>
      </c>
      <c r="D100" s="614"/>
      <c r="E100" s="614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13" sqref="G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7" t="s">
        <v>2</v>
      </c>
      <c r="G2" s="617"/>
      <c r="H2" s="353">
        <f>'справка №1-БАЛАНС'!H3</f>
        <v>834025872</v>
      </c>
    </row>
    <row r="3" spans="1:8" ht="15">
      <c r="A3" s="6" t="s">
        <v>873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40816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10730</v>
      </c>
      <c r="D9" s="79">
        <v>8825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8738</v>
      </c>
      <c r="D10" s="79">
        <v>8220</v>
      </c>
      <c r="E10" s="363" t="s">
        <v>285</v>
      </c>
      <c r="F10" s="365" t="s">
        <v>286</v>
      </c>
      <c r="G10" s="87">
        <v>37800</v>
      </c>
      <c r="H10" s="87">
        <v>36658</v>
      </c>
    </row>
    <row r="11" spans="1:8" ht="12">
      <c r="A11" s="363" t="s">
        <v>287</v>
      </c>
      <c r="B11" s="364" t="s">
        <v>288</v>
      </c>
      <c r="C11" s="79">
        <v>11597</v>
      </c>
      <c r="D11" s="79">
        <v>11949</v>
      </c>
      <c r="E11" s="366" t="s">
        <v>289</v>
      </c>
      <c r="F11" s="365" t="s">
        <v>290</v>
      </c>
      <c r="G11" s="87">
        <v>31195</v>
      </c>
      <c r="H11" s="87">
        <v>30842</v>
      </c>
    </row>
    <row r="12" spans="1:8" ht="12">
      <c r="A12" s="363" t="s">
        <v>291</v>
      </c>
      <c r="B12" s="364" t="s">
        <v>292</v>
      </c>
      <c r="C12" s="79">
        <v>10788</v>
      </c>
      <c r="D12" s="79">
        <v>9203</v>
      </c>
      <c r="E12" s="366" t="s">
        <v>77</v>
      </c>
      <c r="F12" s="365" t="s">
        <v>293</v>
      </c>
      <c r="G12" s="87">
        <v>5394</v>
      </c>
      <c r="H12" s="87">
        <v>5021</v>
      </c>
    </row>
    <row r="13" spans="1:18" ht="12">
      <c r="A13" s="363" t="s">
        <v>294</v>
      </c>
      <c r="B13" s="364" t="s">
        <v>295</v>
      </c>
      <c r="C13" s="79">
        <v>1709</v>
      </c>
      <c r="D13" s="79">
        <v>1411</v>
      </c>
      <c r="E13" s="367" t="s">
        <v>50</v>
      </c>
      <c r="F13" s="368" t="s">
        <v>296</v>
      </c>
      <c r="G13" s="88">
        <f>SUM(G9:G12)</f>
        <v>74389</v>
      </c>
      <c r="H13" s="88">
        <f>SUM(H9:H12)</f>
        <v>72521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15277</v>
      </c>
      <c r="D14" s="79">
        <v>14876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39</v>
      </c>
      <c r="H15" s="87">
        <v>10</v>
      </c>
    </row>
    <row r="16" spans="1:8" ht="12">
      <c r="A16" s="363" t="s">
        <v>303</v>
      </c>
      <c r="B16" s="364" t="s">
        <v>304</v>
      </c>
      <c r="C16" s="80">
        <v>507</v>
      </c>
      <c r="D16" s="80">
        <v>514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59346</v>
      </c>
      <c r="D19" s="82">
        <f>SUM(D9:D15)+D16</f>
        <v>54998</v>
      </c>
      <c r="E19" s="373" t="s">
        <v>313</v>
      </c>
      <c r="F19" s="369" t="s">
        <v>314</v>
      </c>
      <c r="G19" s="87">
        <v>161</v>
      </c>
      <c r="H19" s="87">
        <v>154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625</v>
      </c>
      <c r="H20" s="87">
        <v>686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2232</v>
      </c>
      <c r="D22" s="79">
        <v>2328</v>
      </c>
      <c r="E22" s="373" t="s">
        <v>322</v>
      </c>
      <c r="F22" s="369" t="s">
        <v>323</v>
      </c>
      <c r="G22" s="87">
        <v>498</v>
      </c>
      <c r="H22" s="87">
        <v>511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16</v>
      </c>
      <c r="D24" s="79">
        <v>5</v>
      </c>
      <c r="E24" s="367" t="s">
        <v>102</v>
      </c>
      <c r="F24" s="370" t="s">
        <v>330</v>
      </c>
      <c r="G24" s="88">
        <f>SUM(G19:G23)</f>
        <v>1284</v>
      </c>
      <c r="H24" s="88">
        <f>SUM(H19:H23)</f>
        <v>1351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144</v>
      </c>
      <c r="D25" s="79">
        <v>120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2392</v>
      </c>
      <c r="D26" s="82">
        <f>SUM(D22:D25)</f>
        <v>2453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61738</v>
      </c>
      <c r="D28" s="83">
        <f>D26+D19</f>
        <v>57451</v>
      </c>
      <c r="E28" s="174" t="s">
        <v>335</v>
      </c>
      <c r="F28" s="370" t="s">
        <v>336</v>
      </c>
      <c r="G28" s="88">
        <f>G13+G15+G24</f>
        <v>75712</v>
      </c>
      <c r="H28" s="88">
        <f>H13+H15+H24</f>
        <v>73882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13974</v>
      </c>
      <c r="D30" s="83">
        <f>IF((H28-D28)&gt;0,H28-D28,0)</f>
        <v>16431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61738</v>
      </c>
      <c r="D33" s="82">
        <f>D28+D31+D32</f>
        <v>57451</v>
      </c>
      <c r="E33" s="174" t="s">
        <v>349</v>
      </c>
      <c r="F33" s="370" t="s">
        <v>350</v>
      </c>
      <c r="G33" s="90">
        <f>G32+G31+G28</f>
        <v>75712</v>
      </c>
      <c r="H33" s="90">
        <f>H32+H31+H28</f>
        <v>73882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13974</v>
      </c>
      <c r="D34" s="83">
        <f>IF((H33-D33)&gt;0,H33-D33,0)</f>
        <v>16431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607</v>
      </c>
      <c r="D35" s="82">
        <f>D36+D37+D38</f>
        <v>711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607</v>
      </c>
      <c r="D36" s="79">
        <v>711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13367</v>
      </c>
      <c r="D39" s="569">
        <f>+IF((H33-D33-D35)&gt;0,H33-D33-D35,0)</f>
        <v>15720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13367</v>
      </c>
      <c r="D41" s="85">
        <f>IF(H39=0,IF(D39-D40&gt;0,D39-D40+H40,0),IF(H39-H40&lt;0,H40-H39+D39,0))</f>
        <v>15720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75712</v>
      </c>
      <c r="D42" s="86">
        <f>D33+D35+D39</f>
        <v>73882</v>
      </c>
      <c r="E42" s="177" t="s">
        <v>376</v>
      </c>
      <c r="F42" s="178" t="s">
        <v>377</v>
      </c>
      <c r="G42" s="90">
        <f>G39+G33</f>
        <v>75712</v>
      </c>
      <c r="H42" s="90">
        <f>H39+H33</f>
        <v>73882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5"/>
      <c r="E44" s="615"/>
      <c r="F44" s="615"/>
      <c r="G44" s="615"/>
      <c r="H44" s="615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6"/>
      <c r="E46" s="616"/>
      <c r="F46" s="616"/>
      <c r="G46" s="616"/>
      <c r="H46" s="616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874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40816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76405</v>
      </c>
      <c r="D10" s="92">
        <v>75653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-32399</v>
      </c>
      <c r="D11" s="92">
        <v>-32549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-9721</v>
      </c>
      <c r="D13" s="92">
        <v>-8442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-2523</v>
      </c>
      <c r="D14" s="92">
        <v>-1996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-395</v>
      </c>
      <c r="D15" s="92">
        <v>-2860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7</v>
      </c>
      <c r="D16" s="92">
        <v>83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-113</v>
      </c>
      <c r="D17" s="92">
        <v>-74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29</v>
      </c>
      <c r="D18" s="92">
        <v>47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-356</v>
      </c>
      <c r="D19" s="92">
        <v>-254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30934</v>
      </c>
      <c r="D20" s="93">
        <f>SUM(D10:D19)</f>
        <v>29608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-8928</v>
      </c>
      <c r="D22" s="92">
        <v>-4434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-3611</v>
      </c>
      <c r="D24" s="92">
        <v>-3928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15</v>
      </c>
      <c r="D25" s="92">
        <v>401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14</v>
      </c>
      <c r="D26" s="92">
        <v>5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>
        <v>-2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375</v>
      </c>
      <c r="D29" s="92">
        <v>327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-12135</v>
      </c>
      <c r="D32" s="93">
        <f>SUM(D22:D31)</f>
        <v>-7631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-19308</v>
      </c>
      <c r="D37" s="92">
        <v>-11505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-70</v>
      </c>
      <c r="D38" s="92">
        <v>-60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-2267</v>
      </c>
      <c r="D39" s="92">
        <v>-2618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-1591</v>
      </c>
      <c r="D40" s="92">
        <v>-907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-23236</v>
      </c>
      <c r="D42" s="93">
        <f>SUM(D34:D41)</f>
        <v>-15090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-4437</v>
      </c>
      <c r="D43" s="93">
        <f>D42+D32+D20</f>
        <v>6887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10152</v>
      </c>
      <c r="D44" s="184">
        <v>3265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5715</v>
      </c>
      <c r="D45" s="93">
        <f>D44+D43</f>
        <v>10152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1120</v>
      </c>
      <c r="D46" s="94">
        <v>10118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38</v>
      </c>
      <c r="D47" s="94">
        <v>34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8"/>
      <c r="D50" s="618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8"/>
      <c r="D52" s="618"/>
      <c r="G52" s="186"/>
      <c r="H52" s="186"/>
    </row>
    <row r="53" spans="1:8" ht="12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I29" sqref="I2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9" t="s">
        <v>457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1" t="str">
        <f>'справка №1-БАЛАНС'!E3</f>
        <v>" АЛБЕНА"  АД</v>
      </c>
      <c r="D3" s="622"/>
      <c r="E3" s="622"/>
      <c r="F3" s="622"/>
      <c r="G3" s="622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1" t="str">
        <f>'справка №1-БАЛАНС'!E4</f>
        <v>неконсолидиран </v>
      </c>
      <c r="D4" s="621"/>
      <c r="E4" s="623"/>
      <c r="F4" s="621"/>
      <c r="G4" s="621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4">
        <v>40816</v>
      </c>
      <c r="D5" s="622"/>
      <c r="E5" s="622"/>
      <c r="F5" s="622"/>
      <c r="G5" s="622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81017</v>
      </c>
      <c r="F11" s="96">
        <f>'справка №1-БАЛАНС'!H22</f>
        <v>427</v>
      </c>
      <c r="G11" s="96">
        <f>'справка №1-БАЛАНС'!H23</f>
        <v>0</v>
      </c>
      <c r="H11" s="98">
        <v>189800</v>
      </c>
      <c r="I11" s="96">
        <f>'справка №1-БАЛАНС'!H28+'справка №1-БАЛАНС'!H31</f>
        <v>55029</v>
      </c>
      <c r="J11" s="96">
        <f>'справка №1-БАЛАНС'!H29+'справка №1-БАЛАНС'!H32</f>
        <v>0</v>
      </c>
      <c r="K11" s="98"/>
      <c r="L11" s="424">
        <f>SUM(C11:K11)</f>
        <v>329010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81017</v>
      </c>
      <c r="F15" s="99">
        <f t="shared" si="2"/>
        <v>427</v>
      </c>
      <c r="G15" s="99">
        <f t="shared" si="2"/>
        <v>0</v>
      </c>
      <c r="H15" s="99">
        <f t="shared" si="2"/>
        <v>189800</v>
      </c>
      <c r="I15" s="99">
        <f t="shared" si="2"/>
        <v>55029</v>
      </c>
      <c r="J15" s="99">
        <f t="shared" si="2"/>
        <v>0</v>
      </c>
      <c r="K15" s="99">
        <f t="shared" si="2"/>
        <v>0</v>
      </c>
      <c r="L15" s="424">
        <f t="shared" si="1"/>
        <v>329010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13367</v>
      </c>
      <c r="J16" s="425">
        <f>+'справка №1-БАЛАНС'!G32</f>
        <v>0</v>
      </c>
      <c r="K16" s="98"/>
      <c r="L16" s="424">
        <f t="shared" si="1"/>
        <v>13367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7886</v>
      </c>
      <c r="I17" s="100">
        <f t="shared" si="3"/>
        <v>-9337</v>
      </c>
      <c r="J17" s="100">
        <f>J18+J19</f>
        <v>0</v>
      </c>
      <c r="K17" s="100">
        <f t="shared" si="3"/>
        <v>0</v>
      </c>
      <c r="L17" s="424">
        <f t="shared" si="1"/>
        <v>-1451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-1451</v>
      </c>
      <c r="J18" s="98"/>
      <c r="K18" s="98"/>
      <c r="L18" s="424">
        <f t="shared" si="1"/>
        <v>-1451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>
        <v>7886</v>
      </c>
      <c r="I19" s="98">
        <v>-7886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-59</v>
      </c>
      <c r="F28" s="98"/>
      <c r="G28" s="98"/>
      <c r="H28" s="98"/>
      <c r="I28" s="98">
        <v>85</v>
      </c>
      <c r="J28" s="98"/>
      <c r="K28" s="98"/>
      <c r="L28" s="424">
        <f t="shared" si="1"/>
        <v>26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80958</v>
      </c>
      <c r="F29" s="97">
        <f t="shared" si="6"/>
        <v>427</v>
      </c>
      <c r="G29" s="97">
        <f t="shared" si="6"/>
        <v>0</v>
      </c>
      <c r="H29" s="97">
        <f t="shared" si="6"/>
        <v>197686</v>
      </c>
      <c r="I29" s="97">
        <f t="shared" si="6"/>
        <v>59144</v>
      </c>
      <c r="J29" s="97">
        <f t="shared" si="6"/>
        <v>0</v>
      </c>
      <c r="K29" s="97">
        <f t="shared" si="6"/>
        <v>0</v>
      </c>
      <c r="L29" s="424">
        <f t="shared" si="1"/>
        <v>340952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80958</v>
      </c>
      <c r="F32" s="97">
        <f t="shared" si="7"/>
        <v>427</v>
      </c>
      <c r="G32" s="97">
        <f t="shared" si="7"/>
        <v>0</v>
      </c>
      <c r="H32" s="97">
        <f t="shared" si="7"/>
        <v>197686</v>
      </c>
      <c r="I32" s="97">
        <f t="shared" si="7"/>
        <v>59144</v>
      </c>
      <c r="J32" s="97">
        <f t="shared" si="7"/>
        <v>0</v>
      </c>
      <c r="K32" s="97">
        <f t="shared" si="7"/>
        <v>0</v>
      </c>
      <c r="L32" s="424">
        <f t="shared" si="1"/>
        <v>340952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893</v>
      </c>
      <c r="B35" s="37"/>
      <c r="C35" s="24"/>
      <c r="D35" s="620" t="s">
        <v>519</v>
      </c>
      <c r="E35" s="620"/>
      <c r="F35" s="620"/>
      <c r="G35" s="620"/>
      <c r="H35" s="620"/>
      <c r="I35" s="620"/>
      <c r="J35" s="24" t="s">
        <v>853</v>
      </c>
      <c r="K35" s="24"/>
      <c r="L35" s="620"/>
      <c r="M35" s="620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1" t="s">
        <v>381</v>
      </c>
      <c r="B2" s="635"/>
      <c r="C2" s="584"/>
      <c r="D2" s="584"/>
      <c r="E2" s="621" t="str">
        <f>'справка №1-БАЛАНС'!E3</f>
        <v>" АЛБЕНА"  АД</v>
      </c>
      <c r="F2" s="612"/>
      <c r="G2" s="612"/>
      <c r="H2" s="584"/>
      <c r="I2" s="441"/>
      <c r="J2" s="441"/>
      <c r="K2" s="441"/>
      <c r="L2" s="441"/>
      <c r="M2" s="607" t="s">
        <v>2</v>
      </c>
      <c r="N2" s="634"/>
      <c r="O2" s="634"/>
      <c r="P2" s="608">
        <f>'справка №1-БАЛАНС'!H3</f>
        <v>834025872</v>
      </c>
      <c r="Q2" s="608"/>
      <c r="R2" s="353"/>
    </row>
    <row r="3" spans="1:18" ht="15">
      <c r="A3" s="611" t="s">
        <v>4</v>
      </c>
      <c r="B3" s="635"/>
      <c r="C3" s="585"/>
      <c r="D3" s="585"/>
      <c r="E3" s="624">
        <v>40816</v>
      </c>
      <c r="F3" s="637"/>
      <c r="G3" s="637"/>
      <c r="H3" s="443"/>
      <c r="I3" s="443"/>
      <c r="J3" s="443"/>
      <c r="K3" s="443"/>
      <c r="L3" s="443"/>
      <c r="M3" s="609" t="s">
        <v>3</v>
      </c>
      <c r="N3" s="609"/>
      <c r="O3" s="576"/>
      <c r="P3" s="610">
        <f>'справка №1-БАЛАНС'!H4</f>
        <v>462</v>
      </c>
      <c r="Q3" s="610"/>
      <c r="R3" s="354"/>
    </row>
    <row r="4" spans="1:18" ht="12.75">
      <c r="A4" s="436" t="s">
        <v>521</v>
      </c>
      <c r="B4" s="442"/>
      <c r="C4" s="442"/>
      <c r="D4" s="443"/>
      <c r="E4" s="625"/>
      <c r="F4" s="626"/>
      <c r="G4" s="62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27" t="s">
        <v>461</v>
      </c>
      <c r="B5" s="628"/>
      <c r="C5" s="631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6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6" t="s">
        <v>527</v>
      </c>
      <c r="R5" s="636" t="s">
        <v>528</v>
      </c>
    </row>
    <row r="6" spans="1:18" s="44" customFormat="1" ht="48">
      <c r="A6" s="629"/>
      <c r="B6" s="630"/>
      <c r="C6" s="632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06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06"/>
      <c r="R6" s="606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50859</v>
      </c>
      <c r="E9" s="243">
        <v>684</v>
      </c>
      <c r="F9" s="243"/>
      <c r="G9" s="113">
        <f>D9+E9-F9</f>
        <v>51543</v>
      </c>
      <c r="H9" s="103"/>
      <c r="I9" s="103"/>
      <c r="J9" s="113">
        <f>G9+H9-I9</f>
        <v>51543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51543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305061</v>
      </c>
      <c r="E10" s="243">
        <v>5291</v>
      </c>
      <c r="F10" s="243">
        <v>150</v>
      </c>
      <c r="G10" s="113">
        <f aca="true" t="shared" si="2" ref="G10:G39">D10+E10-F10</f>
        <v>310202</v>
      </c>
      <c r="H10" s="103"/>
      <c r="I10" s="103"/>
      <c r="J10" s="113">
        <f aca="true" t="shared" si="3" ref="J10:J39">G10+H10-I10</f>
        <v>310202</v>
      </c>
      <c r="K10" s="103">
        <v>31118</v>
      </c>
      <c r="L10" s="103">
        <v>4982</v>
      </c>
      <c r="M10" s="103"/>
      <c r="N10" s="113">
        <f aca="true" t="shared" si="4" ref="N10:N39">K10+L10-M10</f>
        <v>36100</v>
      </c>
      <c r="O10" s="103"/>
      <c r="P10" s="103"/>
      <c r="Q10" s="113">
        <f t="shared" si="0"/>
        <v>36100</v>
      </c>
      <c r="R10" s="113">
        <f t="shared" si="1"/>
        <v>274102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27707</v>
      </c>
      <c r="E11" s="243">
        <v>917</v>
      </c>
      <c r="F11" s="243">
        <v>23</v>
      </c>
      <c r="G11" s="113">
        <f t="shared" si="2"/>
        <v>28601</v>
      </c>
      <c r="H11" s="103"/>
      <c r="I11" s="103"/>
      <c r="J11" s="113">
        <f t="shared" si="3"/>
        <v>28601</v>
      </c>
      <c r="K11" s="103">
        <v>21252</v>
      </c>
      <c r="L11" s="103">
        <v>2094</v>
      </c>
      <c r="M11" s="103">
        <v>1</v>
      </c>
      <c r="N11" s="113">
        <f t="shared" si="4"/>
        <v>23345</v>
      </c>
      <c r="O11" s="103"/>
      <c r="P11" s="103"/>
      <c r="Q11" s="113">
        <f t="shared" si="0"/>
        <v>23345</v>
      </c>
      <c r="R11" s="113">
        <f t="shared" si="1"/>
        <v>5256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52953</v>
      </c>
      <c r="E12" s="243">
        <v>1169</v>
      </c>
      <c r="F12" s="243">
        <v>8</v>
      </c>
      <c r="G12" s="113">
        <f t="shared" si="2"/>
        <v>54114</v>
      </c>
      <c r="H12" s="103"/>
      <c r="I12" s="103"/>
      <c r="J12" s="113">
        <f t="shared" si="3"/>
        <v>54114</v>
      </c>
      <c r="K12" s="103">
        <v>23071</v>
      </c>
      <c r="L12" s="103">
        <v>1872</v>
      </c>
      <c r="M12" s="103">
        <v>8</v>
      </c>
      <c r="N12" s="113">
        <f t="shared" si="4"/>
        <v>24935</v>
      </c>
      <c r="O12" s="103"/>
      <c r="P12" s="103"/>
      <c r="Q12" s="113">
        <f t="shared" si="0"/>
        <v>24935</v>
      </c>
      <c r="R12" s="113">
        <f t="shared" si="1"/>
        <v>29179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3192</v>
      </c>
      <c r="E13" s="243">
        <v>179</v>
      </c>
      <c r="F13" s="243">
        <v>2</v>
      </c>
      <c r="G13" s="113">
        <f t="shared" si="2"/>
        <v>3369</v>
      </c>
      <c r="H13" s="103"/>
      <c r="I13" s="103"/>
      <c r="J13" s="113">
        <f t="shared" si="3"/>
        <v>3369</v>
      </c>
      <c r="K13" s="103">
        <v>2178</v>
      </c>
      <c r="L13" s="103">
        <v>210</v>
      </c>
      <c r="M13" s="103">
        <v>2</v>
      </c>
      <c r="N13" s="113">
        <f t="shared" si="4"/>
        <v>2386</v>
      </c>
      <c r="O13" s="103"/>
      <c r="P13" s="103"/>
      <c r="Q13" s="113">
        <f t="shared" si="0"/>
        <v>2386</v>
      </c>
      <c r="R13" s="113">
        <f t="shared" si="1"/>
        <v>983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28780</v>
      </c>
      <c r="E14" s="243">
        <v>368</v>
      </c>
      <c r="F14" s="243">
        <v>193</v>
      </c>
      <c r="G14" s="113">
        <f t="shared" si="2"/>
        <v>28955</v>
      </c>
      <c r="H14" s="103"/>
      <c r="I14" s="103"/>
      <c r="J14" s="113">
        <f t="shared" si="3"/>
        <v>28955</v>
      </c>
      <c r="K14" s="103">
        <v>22755</v>
      </c>
      <c r="L14" s="103">
        <v>2086</v>
      </c>
      <c r="M14" s="103">
        <v>193</v>
      </c>
      <c r="N14" s="113">
        <f t="shared" si="4"/>
        <v>24648</v>
      </c>
      <c r="O14" s="103"/>
      <c r="P14" s="103"/>
      <c r="Q14" s="113">
        <f t="shared" si="0"/>
        <v>24648</v>
      </c>
      <c r="R14" s="113">
        <f t="shared" si="1"/>
        <v>4307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2946</v>
      </c>
      <c r="E15" s="564">
        <v>8098</v>
      </c>
      <c r="F15" s="564">
        <v>7706</v>
      </c>
      <c r="G15" s="113">
        <f t="shared" si="2"/>
        <v>3338</v>
      </c>
      <c r="H15" s="565"/>
      <c r="I15" s="565"/>
      <c r="J15" s="113">
        <f t="shared" si="3"/>
        <v>3338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3338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471498</v>
      </c>
      <c r="E17" s="248">
        <f>SUM(E9:E16)</f>
        <v>16706</v>
      </c>
      <c r="F17" s="248">
        <f>SUM(F9:F16)</f>
        <v>8082</v>
      </c>
      <c r="G17" s="113">
        <f t="shared" si="2"/>
        <v>480122</v>
      </c>
      <c r="H17" s="114">
        <f>SUM(H9:H16)</f>
        <v>0</v>
      </c>
      <c r="I17" s="114">
        <f>SUM(I9:I16)</f>
        <v>0</v>
      </c>
      <c r="J17" s="113">
        <f t="shared" si="3"/>
        <v>480122</v>
      </c>
      <c r="K17" s="114">
        <f>SUM(K9:K16)</f>
        <v>100374</v>
      </c>
      <c r="L17" s="114">
        <f>SUM(L9:L16)</f>
        <v>11244</v>
      </c>
      <c r="M17" s="114">
        <f>SUM(M9:M16)</f>
        <v>204</v>
      </c>
      <c r="N17" s="113">
        <f t="shared" si="4"/>
        <v>111414</v>
      </c>
      <c r="O17" s="114">
        <f>SUM(O9:O16)</f>
        <v>0</v>
      </c>
      <c r="P17" s="114">
        <f>SUM(P9:P16)</f>
        <v>0</v>
      </c>
      <c r="Q17" s="113">
        <f t="shared" si="5"/>
        <v>111414</v>
      </c>
      <c r="R17" s="113">
        <f t="shared" si="6"/>
        <v>368708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13367</v>
      </c>
      <c r="E18" s="241">
        <v>150</v>
      </c>
      <c r="F18" s="241">
        <v>1026</v>
      </c>
      <c r="G18" s="113">
        <f t="shared" si="2"/>
        <v>12491</v>
      </c>
      <c r="H18" s="101"/>
      <c r="I18" s="101"/>
      <c r="J18" s="113">
        <f t="shared" si="3"/>
        <v>12491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12491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1880</v>
      </c>
      <c r="E22" s="243">
        <v>1</v>
      </c>
      <c r="F22" s="243"/>
      <c r="G22" s="113">
        <f t="shared" si="2"/>
        <v>1881</v>
      </c>
      <c r="H22" s="103"/>
      <c r="I22" s="103"/>
      <c r="J22" s="113">
        <f t="shared" si="3"/>
        <v>1881</v>
      </c>
      <c r="K22" s="103">
        <v>1427</v>
      </c>
      <c r="L22" s="103">
        <v>186</v>
      </c>
      <c r="M22" s="103"/>
      <c r="N22" s="113">
        <f t="shared" si="4"/>
        <v>1613</v>
      </c>
      <c r="O22" s="103"/>
      <c r="P22" s="103"/>
      <c r="Q22" s="113">
        <f t="shared" si="5"/>
        <v>1613</v>
      </c>
      <c r="R22" s="113">
        <f t="shared" si="6"/>
        <v>268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1893</v>
      </c>
      <c r="E24" s="243">
        <v>33</v>
      </c>
      <c r="F24" s="243"/>
      <c r="G24" s="113">
        <f t="shared" si="2"/>
        <v>1926</v>
      </c>
      <c r="H24" s="103"/>
      <c r="I24" s="103"/>
      <c r="J24" s="113">
        <f t="shared" si="3"/>
        <v>1926</v>
      </c>
      <c r="K24" s="103">
        <v>730</v>
      </c>
      <c r="L24" s="103">
        <v>167</v>
      </c>
      <c r="M24" s="103"/>
      <c r="N24" s="113">
        <f t="shared" si="4"/>
        <v>897</v>
      </c>
      <c r="O24" s="103"/>
      <c r="P24" s="103"/>
      <c r="Q24" s="113">
        <f t="shared" si="5"/>
        <v>897</v>
      </c>
      <c r="R24" s="113">
        <f t="shared" si="6"/>
        <v>1029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3914</v>
      </c>
      <c r="E25" s="244">
        <f aca="true" t="shared" si="7" ref="E25:P25">SUM(E21:E24)</f>
        <v>34</v>
      </c>
      <c r="F25" s="244">
        <f t="shared" si="7"/>
        <v>0</v>
      </c>
      <c r="G25" s="105">
        <f t="shared" si="2"/>
        <v>3948</v>
      </c>
      <c r="H25" s="104">
        <f t="shared" si="7"/>
        <v>0</v>
      </c>
      <c r="I25" s="104">
        <f t="shared" si="7"/>
        <v>0</v>
      </c>
      <c r="J25" s="105">
        <f t="shared" si="3"/>
        <v>3948</v>
      </c>
      <c r="K25" s="104">
        <f t="shared" si="7"/>
        <v>2298</v>
      </c>
      <c r="L25" s="104">
        <f t="shared" si="7"/>
        <v>353</v>
      </c>
      <c r="M25" s="104">
        <f t="shared" si="7"/>
        <v>0</v>
      </c>
      <c r="N25" s="105">
        <f t="shared" si="4"/>
        <v>2651</v>
      </c>
      <c r="O25" s="104">
        <f t="shared" si="7"/>
        <v>0</v>
      </c>
      <c r="P25" s="104">
        <f t="shared" si="7"/>
        <v>0</v>
      </c>
      <c r="Q25" s="105">
        <f t="shared" si="5"/>
        <v>2651</v>
      </c>
      <c r="R25" s="105">
        <f t="shared" si="6"/>
        <v>1297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49619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49619</v>
      </c>
      <c r="H27" s="109">
        <f t="shared" si="8"/>
        <v>0</v>
      </c>
      <c r="I27" s="109">
        <f t="shared" si="8"/>
        <v>0</v>
      </c>
      <c r="J27" s="110">
        <f t="shared" si="3"/>
        <v>49619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49619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47498</v>
      </c>
      <c r="E28" s="243"/>
      <c r="F28" s="243"/>
      <c r="G28" s="113">
        <f t="shared" si="2"/>
        <v>47498</v>
      </c>
      <c r="H28" s="103"/>
      <c r="I28" s="103"/>
      <c r="J28" s="113">
        <f t="shared" si="3"/>
        <v>47498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47498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49619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49619</v>
      </c>
      <c r="H38" s="114">
        <f t="shared" si="12"/>
        <v>0</v>
      </c>
      <c r="I38" s="114">
        <f t="shared" si="12"/>
        <v>0</v>
      </c>
      <c r="J38" s="113">
        <f t="shared" si="3"/>
        <v>49619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49619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538398</v>
      </c>
      <c r="E40" s="547">
        <f>E17+E18+E19+E25+E38+E39</f>
        <v>16890</v>
      </c>
      <c r="F40" s="547">
        <f aca="true" t="shared" si="13" ref="F40:R40">F17+F18+F19+F25+F38+F39</f>
        <v>9108</v>
      </c>
      <c r="G40" s="547">
        <f t="shared" si="13"/>
        <v>546180</v>
      </c>
      <c r="H40" s="547">
        <f t="shared" si="13"/>
        <v>0</v>
      </c>
      <c r="I40" s="547">
        <f t="shared" si="13"/>
        <v>0</v>
      </c>
      <c r="J40" s="547">
        <f t="shared" si="13"/>
        <v>546180</v>
      </c>
      <c r="K40" s="547">
        <f t="shared" si="13"/>
        <v>102672</v>
      </c>
      <c r="L40" s="547">
        <f t="shared" si="13"/>
        <v>11597</v>
      </c>
      <c r="M40" s="547">
        <f t="shared" si="13"/>
        <v>204</v>
      </c>
      <c r="N40" s="547">
        <f t="shared" si="13"/>
        <v>114065</v>
      </c>
      <c r="O40" s="547">
        <f t="shared" si="13"/>
        <v>0</v>
      </c>
      <c r="P40" s="547">
        <f t="shared" si="13"/>
        <v>0</v>
      </c>
      <c r="Q40" s="547">
        <f t="shared" si="13"/>
        <v>114065</v>
      </c>
      <c r="R40" s="547">
        <f t="shared" si="13"/>
        <v>432115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890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3"/>
      <c r="L44" s="633"/>
      <c r="M44" s="633"/>
      <c r="N44" s="633"/>
      <c r="O44" s="634" t="s">
        <v>779</v>
      </c>
      <c r="P44" s="635"/>
      <c r="Q44" s="635"/>
      <c r="R44" s="63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1" t="s">
        <v>607</v>
      </c>
      <c r="B1" s="641"/>
      <c r="C1" s="641"/>
      <c r="D1" s="641"/>
      <c r="E1" s="64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2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tr">
        <f>"Отчетен период:"&amp;"           "&amp;'справка №1-БАЛАНС'!E5</f>
        <v>Отчетен период:           40816</v>
      </c>
      <c r="B4" s="643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5941</v>
      </c>
      <c r="D11" s="165">
        <f>SUM(D12:D14)</f>
        <v>0</v>
      </c>
      <c r="E11" s="166">
        <f>SUM(E12:E14)</f>
        <v>5941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5941</v>
      </c>
      <c r="D12" s="153"/>
      <c r="E12" s="166">
        <f aca="true" t="shared" si="0" ref="E12:E42">C12-D12</f>
        <v>5941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1087</v>
      </c>
      <c r="D16" s="165">
        <f>+D17+D18</f>
        <v>0</v>
      </c>
      <c r="E16" s="166">
        <f t="shared" si="0"/>
        <v>1087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1087</v>
      </c>
      <c r="D18" s="153"/>
      <c r="E18" s="166">
        <f t="shared" si="0"/>
        <v>1087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7028</v>
      </c>
      <c r="D19" s="149">
        <f>D11+D15+D16</f>
        <v>0</v>
      </c>
      <c r="E19" s="164">
        <f>E11+E15+E16</f>
        <v>7028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6459</v>
      </c>
      <c r="D24" s="165">
        <f>SUM(D25:D27)</f>
        <v>6459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3410</v>
      </c>
      <c r="D25" s="153">
        <v>3410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2470</v>
      </c>
      <c r="D26" s="153">
        <v>2470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579</v>
      </c>
      <c r="D27" s="153">
        <v>579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9699</v>
      </c>
      <c r="D28" s="153">
        <v>9699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1040</v>
      </c>
      <c r="D29" s="153">
        <v>1040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576</v>
      </c>
      <c r="D31" s="153">
        <v>576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56</v>
      </c>
      <c r="D33" s="150">
        <f>SUM(D34:D37)</f>
        <v>56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39</v>
      </c>
      <c r="D35" s="153">
        <v>39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17</v>
      </c>
      <c r="D37" s="153">
        <v>17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756</v>
      </c>
      <c r="D38" s="150">
        <f>SUM(D39:D42)</f>
        <v>756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756</v>
      </c>
      <c r="D42" s="153">
        <v>756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18586</v>
      </c>
      <c r="D43" s="149">
        <f>D24+D28+D29+D31+D30+D32+D33+D38</f>
        <v>18586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25614</v>
      </c>
      <c r="D44" s="148">
        <f>D43+D21+D19+D9</f>
        <v>18586</v>
      </c>
      <c r="E44" s="164">
        <f>E43+E21+E19+E9</f>
        <v>7028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5775</v>
      </c>
      <c r="D52" s="148">
        <f>SUM(D53:D55)</f>
        <v>0</v>
      </c>
      <c r="E52" s="165">
        <f>C52-D52</f>
        <v>5775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5775</v>
      </c>
      <c r="D53" s="153"/>
      <c r="E53" s="165">
        <f>C53-D53</f>
        <v>5775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79641</v>
      </c>
      <c r="D56" s="148">
        <f>D57+D59</f>
        <v>0</v>
      </c>
      <c r="E56" s="165">
        <f t="shared" si="1"/>
        <v>79641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79641</v>
      </c>
      <c r="D57" s="153"/>
      <c r="E57" s="165">
        <f t="shared" si="1"/>
        <v>79641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454</v>
      </c>
      <c r="D64" s="153"/>
      <c r="E64" s="165">
        <f t="shared" si="1"/>
        <v>454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85870</v>
      </c>
      <c r="D66" s="148">
        <f>D52+D56+D61+D62+D63+D64</f>
        <v>0</v>
      </c>
      <c r="E66" s="165">
        <f t="shared" si="1"/>
        <v>85870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14227</v>
      </c>
      <c r="D68" s="153"/>
      <c r="E68" s="165">
        <f t="shared" si="1"/>
        <v>14227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3285</v>
      </c>
      <c r="D71" s="150">
        <f>SUM(D72:D74)</f>
        <v>3285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2144</v>
      </c>
      <c r="D72" s="153">
        <v>2144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1099</v>
      </c>
      <c r="D73" s="153">
        <v>1099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42</v>
      </c>
      <c r="D74" s="153">
        <v>42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1122</v>
      </c>
      <c r="D75" s="148">
        <f>D76+D78</f>
        <v>1122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1122</v>
      </c>
      <c r="D76" s="153">
        <v>1122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667</v>
      </c>
      <c r="D80" s="148">
        <f>SUM(D81:D84)</f>
        <v>667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667</v>
      </c>
      <c r="D84" s="153">
        <v>667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12792</v>
      </c>
      <c r="D85" s="149">
        <f>SUM(D86:D90)+D94</f>
        <v>12792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8327</v>
      </c>
      <c r="D87" s="153">
        <v>8327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2431</v>
      </c>
      <c r="D88" s="153">
        <v>2431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1314</v>
      </c>
      <c r="D89" s="153">
        <v>1314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246</v>
      </c>
      <c r="D90" s="148">
        <f>SUM(D91:D93)</f>
        <v>246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246</v>
      </c>
      <c r="D93" s="153">
        <v>246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474</v>
      </c>
      <c r="D94" s="153">
        <v>474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2747</v>
      </c>
      <c r="D95" s="153">
        <v>2747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20613</v>
      </c>
      <c r="D96" s="149">
        <f>D85+D80+D75+D71+D95</f>
        <v>20613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120710</v>
      </c>
      <c r="D97" s="149">
        <f>D96+D68+D66</f>
        <v>20613</v>
      </c>
      <c r="E97" s="149">
        <f>E96+E68+E66</f>
        <v>100097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778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894</v>
      </c>
      <c r="B109" s="639"/>
      <c r="C109" s="639" t="s">
        <v>379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8" t="s">
        <v>779</v>
      </c>
      <c r="D111" s="638"/>
      <c r="E111" s="638"/>
      <c r="F111" s="638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1" t="str">
        <f>'справка №1-БАЛАНС'!E3</f>
        <v>" АЛБЕНА"  АД</v>
      </c>
      <c r="D4" s="637"/>
      <c r="E4" s="637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1">
        <f>'справка №1-БАЛАНС'!E5</f>
        <v>40816</v>
      </c>
      <c r="D5" s="646"/>
      <c r="E5" s="646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16507690</v>
      </c>
      <c r="D12" s="141"/>
      <c r="E12" s="141"/>
      <c r="F12" s="141">
        <v>49619</v>
      </c>
      <c r="G12" s="141"/>
      <c r="H12" s="141"/>
      <c r="I12" s="541">
        <f>F12+G12-H12</f>
        <v>49619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16507690</v>
      </c>
      <c r="D17" s="127">
        <f t="shared" si="1"/>
        <v>0</v>
      </c>
      <c r="E17" s="127">
        <f t="shared" si="1"/>
        <v>0</v>
      </c>
      <c r="F17" s="127">
        <f t="shared" si="1"/>
        <v>49619</v>
      </c>
      <c r="G17" s="127">
        <f t="shared" si="1"/>
        <v>0</v>
      </c>
      <c r="H17" s="127">
        <f t="shared" si="1"/>
        <v>0</v>
      </c>
      <c r="I17" s="541">
        <f t="shared" si="0"/>
        <v>49619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895</v>
      </c>
      <c r="B30" s="645"/>
      <c r="C30" s="645"/>
      <c r="D30" s="567" t="s">
        <v>379</v>
      </c>
      <c r="E30" s="644"/>
      <c r="F30" s="644"/>
      <c r="G30" s="644"/>
      <c r="H30" s="519" t="s">
        <v>779</v>
      </c>
      <c r="I30" s="644"/>
      <c r="J30" s="644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09">
      <selection activeCell="A146" sqref="A14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1" t="str">
        <f>'справка №1-БАЛАНС'!E3</f>
        <v>" АЛБЕНА"  АД</v>
      </c>
      <c r="C5" s="612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1">
        <f>'справка №1-БАЛАНС'!E5</f>
        <v>40816</v>
      </c>
      <c r="C6" s="646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48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2"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883</v>
      </c>
      <c r="B14" s="67"/>
      <c r="C14" s="549">
        <v>4300</v>
      </c>
      <c r="D14" s="598">
        <v>99.99</v>
      </c>
      <c r="E14" s="549">
        <v>4300</v>
      </c>
      <c r="F14" s="551">
        <f t="shared" si="0"/>
        <v>0</v>
      </c>
    </row>
    <row r="15" spans="1:6" ht="12.75">
      <c r="A15" s="66" t="s">
        <v>884</v>
      </c>
      <c r="B15" s="67"/>
      <c r="C15" s="549">
        <f>499078/1000</f>
        <v>499.078</v>
      </c>
      <c r="D15" s="598">
        <v>100</v>
      </c>
      <c r="E15" s="549"/>
      <c r="F15" s="551">
        <f t="shared" si="0"/>
        <v>499.078</v>
      </c>
    </row>
    <row r="16" spans="1:6" ht="12.75">
      <c r="A16" s="66" t="s">
        <v>885</v>
      </c>
      <c r="B16" s="67"/>
      <c r="C16" s="549">
        <v>1100</v>
      </c>
      <c r="D16" s="598">
        <v>100</v>
      </c>
      <c r="E16" s="549"/>
      <c r="F16" s="551">
        <f t="shared" si="0"/>
        <v>1100</v>
      </c>
    </row>
    <row r="17" spans="1:6" ht="12.75">
      <c r="A17" s="66" t="s">
        <v>886</v>
      </c>
      <c r="B17" s="67"/>
      <c r="C17" s="549">
        <f>5000/1000</f>
        <v>5</v>
      </c>
      <c r="D17" s="598">
        <v>100</v>
      </c>
      <c r="E17" s="549"/>
      <c r="F17" s="551">
        <f t="shared" si="0"/>
        <v>5</v>
      </c>
    </row>
    <row r="18" spans="1:6" ht="12.75">
      <c r="A18" s="66" t="s">
        <v>887</v>
      </c>
      <c r="B18" s="67"/>
      <c r="C18" s="549">
        <v>6196</v>
      </c>
      <c r="D18" s="598">
        <v>60</v>
      </c>
      <c r="E18" s="549"/>
      <c r="F18" s="551">
        <f t="shared" si="0"/>
        <v>6196</v>
      </c>
    </row>
    <row r="19" spans="1:6" ht="12.75">
      <c r="A19" s="66" t="s">
        <v>888</v>
      </c>
      <c r="B19" s="67"/>
      <c r="C19" s="549">
        <v>4720</v>
      </c>
      <c r="D19" s="598">
        <v>100</v>
      </c>
      <c r="E19" s="549"/>
      <c r="F19" s="551">
        <f t="shared" si="0"/>
        <v>4720</v>
      </c>
    </row>
    <row r="20" spans="1:6" ht="12.75">
      <c r="A20" s="66" t="s">
        <v>889</v>
      </c>
      <c r="B20" s="70"/>
      <c r="C20" s="549">
        <v>22627</v>
      </c>
      <c r="D20" s="598">
        <v>99.99</v>
      </c>
      <c r="E20" s="549">
        <v>22627</v>
      </c>
      <c r="F20" s="600">
        <f>(C20-E20)</f>
        <v>0</v>
      </c>
    </row>
    <row r="21" spans="1:6" ht="12" customHeight="1">
      <c r="A21" s="66"/>
      <c r="B21" s="70"/>
      <c r="C21" s="549"/>
      <c r="D21" s="598"/>
      <c r="E21" s="601"/>
      <c r="F21" s="600">
        <f>(C21-E21)</f>
        <v>0</v>
      </c>
    </row>
    <row r="22" spans="1:6" ht="12.75">
      <c r="A22" s="66"/>
      <c r="B22" s="67"/>
      <c r="C22" s="549"/>
      <c r="D22" s="549"/>
      <c r="E22" s="549"/>
      <c r="F22" s="551">
        <f t="shared" si="0"/>
        <v>0</v>
      </c>
    </row>
    <row r="23" spans="1:16" ht="11.25" customHeight="1">
      <c r="A23" s="68" t="s">
        <v>562</v>
      </c>
      <c r="B23" s="69" t="s">
        <v>828</v>
      </c>
      <c r="C23" s="536">
        <f>SUM(C11:C22)</f>
        <v>43713.248</v>
      </c>
      <c r="D23" s="536"/>
      <c r="E23" s="536">
        <f>SUM(E11:E22)</f>
        <v>26927</v>
      </c>
      <c r="F23" s="550">
        <f>SUM(F11:F22)</f>
        <v>16786.248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880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881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/>
      <c r="B43" s="70"/>
      <c r="C43" s="549"/>
      <c r="D43" s="549"/>
      <c r="E43" s="549"/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>
        <v>7</v>
      </c>
      <c r="B46" s="67"/>
      <c r="C46" s="549"/>
      <c r="D46" s="549"/>
      <c r="E46" s="549"/>
      <c r="F46" s="551">
        <f t="shared" si="2"/>
        <v>0</v>
      </c>
    </row>
    <row r="47" spans="1:6" ht="12.75">
      <c r="A47" s="66">
        <v>8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9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10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11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12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13</v>
      </c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>
        <v>14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15</v>
      </c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1088</v>
      </c>
      <c r="D55" s="536"/>
      <c r="E55" s="536">
        <f>SUM(E40:E54)</f>
        <v>0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4.25" customHeight="1">
      <c r="A57" s="66" t="s">
        <v>875</v>
      </c>
      <c r="B57" s="70"/>
      <c r="C57" s="604">
        <v>1017</v>
      </c>
      <c r="D57" s="598">
        <v>7.39</v>
      </c>
      <c r="E57" s="604">
        <v>1017</v>
      </c>
      <c r="F57" s="600">
        <f>(C57-E57)</f>
        <v>0</v>
      </c>
    </row>
    <row r="58" spans="1:6" ht="12.75">
      <c r="A58" s="66" t="s">
        <v>876</v>
      </c>
      <c r="B58" s="67"/>
      <c r="C58" s="549">
        <f>10000/1000</f>
        <v>10</v>
      </c>
      <c r="D58" s="598"/>
      <c r="E58" s="549"/>
      <c r="F58" s="551">
        <f>C58-E58</f>
        <v>10</v>
      </c>
    </row>
    <row r="59" spans="1:6" ht="12.75">
      <c r="A59" s="66" t="s">
        <v>877</v>
      </c>
      <c r="B59" s="70"/>
      <c r="C59" s="549">
        <v>0</v>
      </c>
      <c r="D59" s="549"/>
      <c r="E59" s="549"/>
      <c r="F59" s="551">
        <f aca="true" t="shared" si="3" ref="F59:F71">C59-E59</f>
        <v>0</v>
      </c>
    </row>
    <row r="60" spans="1:6" ht="12.75">
      <c r="A60" s="66" t="s">
        <v>878</v>
      </c>
      <c r="B60" s="70"/>
      <c r="C60" s="549">
        <f>4200/1000</f>
        <v>4.2</v>
      </c>
      <c r="D60" s="549"/>
      <c r="E60" s="549"/>
      <c r="F60" s="551">
        <f t="shared" si="3"/>
        <v>4.2</v>
      </c>
    </row>
    <row r="61" spans="1:6" ht="12.75">
      <c r="A61" s="66" t="s">
        <v>879</v>
      </c>
      <c r="B61" s="70"/>
      <c r="C61" s="549">
        <f>1740/1000</f>
        <v>1.74</v>
      </c>
      <c r="D61" s="549"/>
      <c r="E61" s="549"/>
      <c r="F61" s="551">
        <f t="shared" si="3"/>
        <v>1.74</v>
      </c>
    </row>
    <row r="62" spans="1:6" ht="12.75">
      <c r="A62" s="66">
        <v>6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7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8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9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10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11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12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13</v>
      </c>
      <c r="B69" s="67"/>
      <c r="C69" s="549"/>
      <c r="D69" s="549"/>
      <c r="E69" s="549"/>
      <c r="F69" s="551">
        <f t="shared" si="3"/>
        <v>0</v>
      </c>
    </row>
    <row r="70" spans="1:6" ht="12" customHeight="1">
      <c r="A70" s="66">
        <v>14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15</v>
      </c>
      <c r="B71" s="67"/>
      <c r="C71" s="549"/>
      <c r="D71" s="549"/>
      <c r="E71" s="549"/>
      <c r="F71" s="551">
        <f t="shared" si="3"/>
        <v>0</v>
      </c>
    </row>
    <row r="72" spans="1:16" ht="14.25" customHeight="1">
      <c r="A72" s="68" t="s">
        <v>834</v>
      </c>
      <c r="B72" s="69" t="s">
        <v>835</v>
      </c>
      <c r="C72" s="536">
        <f>SUM(C57:C71)</f>
        <v>1032.94</v>
      </c>
      <c r="D72" s="536"/>
      <c r="E72" s="536">
        <f>SUM(E58:E71)</f>
        <v>0</v>
      </c>
      <c r="F72" s="550">
        <f>SUM(F58:F71)</f>
        <v>15.94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20.25" customHeight="1">
      <c r="A73" s="71" t="s">
        <v>836</v>
      </c>
      <c r="B73" s="69" t="s">
        <v>837</v>
      </c>
      <c r="C73" s="536">
        <f>C72+C55+C38+C23</f>
        <v>45834.188</v>
      </c>
      <c r="D73" s="536"/>
      <c r="E73" s="536">
        <f>E72+E55+E38+E23</f>
        <v>26927</v>
      </c>
      <c r="F73" s="550">
        <f>F72+F55+F38+F23</f>
        <v>17890.188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6" ht="15" customHeight="1">
      <c r="A74" s="64" t="s">
        <v>838</v>
      </c>
      <c r="B74" s="69"/>
      <c r="C74" s="536"/>
      <c r="D74" s="536"/>
      <c r="E74" s="536"/>
      <c r="F74" s="550"/>
    </row>
    <row r="75" spans="1:6" ht="14.25" customHeight="1">
      <c r="A75" s="66" t="s">
        <v>827</v>
      </c>
      <c r="B75" s="70"/>
      <c r="C75" s="536"/>
      <c r="D75" s="536"/>
      <c r="E75" s="536"/>
      <c r="F75" s="550"/>
    </row>
    <row r="76" spans="1:6" ht="12.75">
      <c r="A76" s="66" t="s">
        <v>867</v>
      </c>
      <c r="B76" s="67"/>
      <c r="C76" s="549">
        <f>3771094/1000</f>
        <v>3771.094</v>
      </c>
      <c r="D76" s="598">
        <v>84.38</v>
      </c>
      <c r="E76" s="549"/>
      <c r="F76" s="551">
        <f>C76-E76</f>
        <v>3771.094</v>
      </c>
    </row>
    <row r="77" spans="1:6" ht="12.75">
      <c r="A77" s="66" t="s">
        <v>870</v>
      </c>
      <c r="B77" s="70"/>
      <c r="C77" s="549">
        <v>14</v>
      </c>
      <c r="D77" s="599">
        <v>100</v>
      </c>
      <c r="E77" s="549"/>
      <c r="F77" s="551">
        <f aca="true" t="shared" si="4" ref="F77:F90">C77-E77</f>
        <v>14</v>
      </c>
    </row>
    <row r="78" spans="1:6" ht="12.75">
      <c r="A78" s="66" t="s">
        <v>547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 t="s">
        <v>550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>
        <v>5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6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7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8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9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10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11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12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13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14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15</v>
      </c>
      <c r="B90" s="67"/>
      <c r="C90" s="549"/>
      <c r="D90" s="549"/>
      <c r="E90" s="549"/>
      <c r="F90" s="551">
        <f t="shared" si="4"/>
        <v>0</v>
      </c>
    </row>
    <row r="91" spans="1:16" ht="15" customHeight="1">
      <c r="A91" s="68" t="s">
        <v>562</v>
      </c>
      <c r="B91" s="69" t="s">
        <v>839</v>
      </c>
      <c r="C91" s="536">
        <f>SUM(C76:C90)</f>
        <v>3785.094</v>
      </c>
      <c r="D91" s="536"/>
      <c r="E91" s="536">
        <f>SUM(E76:E90)</f>
        <v>0</v>
      </c>
      <c r="F91" s="550">
        <f>SUM(F76:F90)</f>
        <v>3785.094</v>
      </c>
      <c r="G91" s="526"/>
      <c r="H91" s="526"/>
      <c r="I91" s="526"/>
      <c r="J91" s="526"/>
      <c r="K91" s="526"/>
      <c r="L91" s="526"/>
      <c r="M91" s="526"/>
      <c r="N91" s="526"/>
      <c r="O91" s="526"/>
      <c r="P91" s="526"/>
    </row>
    <row r="92" spans="1:6" ht="15.75" customHeight="1">
      <c r="A92" s="66" t="s">
        <v>829</v>
      </c>
      <c r="B92" s="70"/>
      <c r="C92" s="536"/>
      <c r="D92" s="536"/>
      <c r="E92" s="536"/>
      <c r="F92" s="550"/>
    </row>
    <row r="93" spans="1:6" ht="12.75">
      <c r="A93" s="66" t="s">
        <v>541</v>
      </c>
      <c r="B93" s="70"/>
      <c r="C93" s="549"/>
      <c r="D93" s="549"/>
      <c r="E93" s="549"/>
      <c r="F93" s="551">
        <f>C93-E93</f>
        <v>0</v>
      </c>
    </row>
    <row r="94" spans="1:6" ht="12.75">
      <c r="A94" s="66" t="s">
        <v>544</v>
      </c>
      <c r="B94" s="70"/>
      <c r="C94" s="549"/>
      <c r="D94" s="549"/>
      <c r="E94" s="549"/>
      <c r="F94" s="551">
        <f aca="true" t="shared" si="5" ref="F94:F107">C94-E94</f>
        <v>0</v>
      </c>
    </row>
    <row r="95" spans="1:6" ht="12.75">
      <c r="A95" s="66" t="s">
        <v>547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 t="s">
        <v>550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>
        <v>5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6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7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8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9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10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11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12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13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14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15</v>
      </c>
      <c r="B107" s="67"/>
      <c r="C107" s="549"/>
      <c r="D107" s="549"/>
      <c r="E107" s="549"/>
      <c r="F107" s="551">
        <f t="shared" si="5"/>
        <v>0</v>
      </c>
    </row>
    <row r="108" spans="1:16" ht="11.25" customHeight="1">
      <c r="A108" s="68" t="s">
        <v>579</v>
      </c>
      <c r="B108" s="69" t="s">
        <v>840</v>
      </c>
      <c r="C108" s="536">
        <f>SUM(C93:C107)</f>
        <v>0</v>
      </c>
      <c r="D108" s="536"/>
      <c r="E108" s="536">
        <f>SUM(E93:E107)</f>
        <v>0</v>
      </c>
      <c r="F108" s="550">
        <f>SUM(F93:F107)</f>
        <v>0</v>
      </c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6" ht="15" customHeight="1">
      <c r="A109" s="66" t="s">
        <v>831</v>
      </c>
      <c r="B109" s="70"/>
      <c r="C109" s="536"/>
      <c r="D109" s="536"/>
      <c r="E109" s="536"/>
      <c r="F109" s="550"/>
    </row>
    <row r="110" spans="1:6" ht="12.75">
      <c r="A110" s="66" t="s">
        <v>541</v>
      </c>
      <c r="B110" s="70"/>
      <c r="C110" s="549"/>
      <c r="D110" s="549"/>
      <c r="E110" s="549"/>
      <c r="F110" s="551">
        <f>C110-E110</f>
        <v>0</v>
      </c>
    </row>
    <row r="111" spans="1:6" ht="12.75">
      <c r="A111" s="66" t="s">
        <v>544</v>
      </c>
      <c r="B111" s="70"/>
      <c r="C111" s="549"/>
      <c r="D111" s="549"/>
      <c r="E111" s="549"/>
      <c r="F111" s="551">
        <f aca="true" t="shared" si="6" ref="F111:F124">C111-E111</f>
        <v>0</v>
      </c>
    </row>
    <row r="112" spans="1:6" ht="12.75">
      <c r="A112" s="66" t="s">
        <v>547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 t="s">
        <v>550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>
        <v>5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6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7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8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9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10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11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12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13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14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15</v>
      </c>
      <c r="B124" s="67"/>
      <c r="C124" s="549"/>
      <c r="D124" s="549"/>
      <c r="E124" s="549"/>
      <c r="F124" s="551">
        <f t="shared" si="6"/>
        <v>0</v>
      </c>
    </row>
    <row r="125" spans="1:16" ht="15.75" customHeight="1">
      <c r="A125" s="68" t="s">
        <v>598</v>
      </c>
      <c r="B125" s="69" t="s">
        <v>841</v>
      </c>
      <c r="C125" s="536">
        <f>SUM(C110:C124)</f>
        <v>0</v>
      </c>
      <c r="D125" s="536"/>
      <c r="E125" s="536">
        <f>SUM(E110:E124)</f>
        <v>0</v>
      </c>
      <c r="F125" s="550">
        <f>SUM(F110:F124)</f>
        <v>0</v>
      </c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6" ht="12.75" customHeight="1">
      <c r="A126" s="66" t="s">
        <v>833</v>
      </c>
      <c r="B126" s="70"/>
      <c r="C126" s="536"/>
      <c r="D126" s="536"/>
      <c r="E126" s="536"/>
      <c r="F126" s="550"/>
    </row>
    <row r="127" spans="1:6" ht="12.75">
      <c r="A127" s="66" t="s">
        <v>541</v>
      </c>
      <c r="B127" s="70"/>
      <c r="C127" s="549"/>
      <c r="D127" s="549"/>
      <c r="E127" s="549"/>
      <c r="F127" s="551">
        <f>C127-E127</f>
        <v>0</v>
      </c>
    </row>
    <row r="128" spans="1:6" ht="12.75">
      <c r="A128" s="66" t="s">
        <v>544</v>
      </c>
      <c r="B128" s="70"/>
      <c r="C128" s="549"/>
      <c r="D128" s="549"/>
      <c r="E128" s="549"/>
      <c r="F128" s="551">
        <f aca="true" t="shared" si="7" ref="F128:F141">C128-E128</f>
        <v>0</v>
      </c>
    </row>
    <row r="129" spans="1:6" ht="12.75">
      <c r="A129" s="66" t="s">
        <v>547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 t="s">
        <v>550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>
        <v>5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6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7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8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9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10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11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12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13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14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15</v>
      </c>
      <c r="B141" s="67"/>
      <c r="C141" s="549"/>
      <c r="D141" s="549"/>
      <c r="E141" s="549"/>
      <c r="F141" s="551">
        <f t="shared" si="7"/>
        <v>0</v>
      </c>
    </row>
    <row r="142" spans="1:16" ht="17.25" customHeight="1">
      <c r="A142" s="68" t="s">
        <v>834</v>
      </c>
      <c r="B142" s="69" t="s">
        <v>842</v>
      </c>
      <c r="C142" s="536">
        <f>SUM(C127:C141)</f>
        <v>0</v>
      </c>
      <c r="D142" s="536"/>
      <c r="E142" s="536">
        <f>SUM(E127:E141)</f>
        <v>0</v>
      </c>
      <c r="F142" s="550">
        <f>SUM(F127:F141)</f>
        <v>0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9.5" customHeight="1">
      <c r="A143" s="71" t="s">
        <v>843</v>
      </c>
      <c r="B143" s="69" t="s">
        <v>844</v>
      </c>
      <c r="C143" s="536">
        <f>C142+C125+C108+C91</f>
        <v>3785.094</v>
      </c>
      <c r="D143" s="536"/>
      <c r="E143" s="536">
        <f>E142+E125+E108+E91</f>
        <v>0</v>
      </c>
      <c r="F143" s="550">
        <f>F142+F125+F108+F91</f>
        <v>3785.094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6" ht="19.5" customHeight="1">
      <c r="A144" s="72"/>
      <c r="B144" s="73"/>
      <c r="C144" s="74"/>
      <c r="D144" s="74"/>
      <c r="E144" s="74"/>
      <c r="F144" s="74"/>
    </row>
    <row r="145" spans="1:6" ht="12.75">
      <c r="A145" s="559" t="s">
        <v>895</v>
      </c>
      <c r="B145" s="560"/>
      <c r="C145" s="647" t="s">
        <v>845</v>
      </c>
      <c r="D145" s="647"/>
      <c r="E145" s="647"/>
      <c r="F145" s="647"/>
    </row>
    <row r="146" spans="1:6" ht="12.75">
      <c r="A146" s="75" t="s">
        <v>882</v>
      </c>
      <c r="B146" s="76"/>
      <c r="C146" s="75" t="s">
        <v>868</v>
      </c>
      <c r="D146" s="75"/>
      <c r="E146" s="75"/>
      <c r="F146" s="75"/>
    </row>
    <row r="147" spans="1:6" ht="12.75">
      <c r="A147" s="75"/>
      <c r="B147" s="76"/>
      <c r="C147" s="647" t="s">
        <v>852</v>
      </c>
      <c r="D147" s="647"/>
      <c r="E147" s="647"/>
      <c r="F147" s="647"/>
    </row>
    <row r="148" spans="3:5" ht="12.75">
      <c r="C148" s="75" t="s">
        <v>869</v>
      </c>
      <c r="E148" s="75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C110:F124 C93:F107 C76:F90 C58:F71 C25:F37 F57 D57 C40:F54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Analizi</cp:lastModifiedBy>
  <cp:lastPrinted>2011-10-25T08:06:04Z</cp:lastPrinted>
  <dcterms:created xsi:type="dcterms:W3CDTF">2000-06-29T12:02:40Z</dcterms:created>
  <dcterms:modified xsi:type="dcterms:W3CDTF">2011-10-28T06:40:31Z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