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.№6-Франция" sheetId="7" r:id="rId7"/>
    <sheet name="спр.№6-Испания" sheetId="8" r:id="rId8"/>
    <sheet name="спр.№6-Германия" sheetId="9" r:id="rId9"/>
    <sheet name="справка №6-Румъния" sheetId="10" r:id="rId10"/>
    <sheet name="справка №7" sheetId="11" r:id="rId11"/>
    <sheet name="справка №8" sheetId="12" r:id="rId12"/>
  </sheets>
  <externalReferences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<sst xmlns="http://schemas.openxmlformats.org/spreadsheetml/2006/main" count="1876" uniqueCount="881">
  <si>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</si>
  <si>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</si>
  <si>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</si>
  <si>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</si>
  <si>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</si>
  <si>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</si>
  <si>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</si>
  <si>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</si>
  <si>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</si>
  <si>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</si>
  <si>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</si>
  <si>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</si>
  <si>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</si>
  <si>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</si>
  <si>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</si>
  <si>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</si>
  <si>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</si>
  <si>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</si>
  <si>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</si>
  <si>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</si>
  <si>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</si>
  <si>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</si>
  <si>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</si>
  <si>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</si>
  <si>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</si>
  <si>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</si>
  <si>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</si>
  <si>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</si>
  <si>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</si>
  <si>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</si>
  <si>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</si>
  <si>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</si>
  <si>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</si>
  <si>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</si>
  <si>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</si>
  <si>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</si>
  <si>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</si>
  <si>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</si>
  <si>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</si>
  <si>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</si>
  <si>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</si>
  <si>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</si>
  <si>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</si>
  <si>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</si>
  <si>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</si>
  <si>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</si>
  <si>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</si>
  <si>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</si>
  <si>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</si>
  <si>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</si>
  <si>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</si>
  <si>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</si>
  <si>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</si>
  <si>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</si>
  <si>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</si>
  <si>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</si>
  <si>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</si>
  <si>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</si>
  <si>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</si>
  <si>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</si>
  <si>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</si>
  <si>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</si>
  <si>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</si>
  <si>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</si>
  <si>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</si>
  <si>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</si>
  <si>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</si>
  <si>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</si>
  <si>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</si>
  <si>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</si>
  <si>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</si>
  <si>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</si>
  <si>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</si>
  <si>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</si>
  <si>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</si>
  <si>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</si>
  <si>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</si>
  <si>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</si>
  <si>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</si>
  <si>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</si>
  <si>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</si>
  <si>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</si>
  <si>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</si>
  <si>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</si>
  <si>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</si>
  <si>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</si>
  <si>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</si>
  <si>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</si>
  <si>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</si>
  <si>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</si>
  <si>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</si>
  <si>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</si>
  <si>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</si>
  <si>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</si>
  <si>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</si>
  <si>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</si>
  <si>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</si>
  <si>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</si>
  <si>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</si>
  <si>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</si>
  <si>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</si>
  <si>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</si>
  <si>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</si>
  <si>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</si>
  <si>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</si>
  <si>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</si>
  <si>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</si>
  <si>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</si>
  <si>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</si>
  <si>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</si>
  <si>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</si>
  <si>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</si>
  <si>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</si>
  <si>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</si>
  <si>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</si>
  <si>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</si>
  <si>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</si>
  <si>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</si>
  <si>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</si>
  <si>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</si>
  <si>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</si>
  <si>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</si>
  <si>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</si>
  <si>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</si>
  <si>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</si>
  <si>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</si>
  <si>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</si>
  <si>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</si>
  <si>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</si>
  <si>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</si>
  <si>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</si>
  <si>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</si>
  <si>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</si>
  <si>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</si>
  <si>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</si>
  <si>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</si>
  <si>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</si>
  <si>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</si>
  <si>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</si>
  <si>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</si>
  <si>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</si>
  <si>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</si>
  <si>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</si>
  <si>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</si>
  <si>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</si>
  <si>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</si>
  <si>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</si>
  <si>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</si>
  <si>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</si>
  <si>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</si>
  <si>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</si>
  <si>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</si>
  <si>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</si>
  <si>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</si>
  <si>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</si>
  <si>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</si>
  <si>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</si>
  <si>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</si>
  <si>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</si>
  <si>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</si>
  <si>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</si>
  <si>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</si>
  <si>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</si>
  <si>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</si>
  <si>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</si>
  <si>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</si>
  <si>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</si>
  <si>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</si>
  <si>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</si>
  <si>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</si>
  <si>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</si>
  <si>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</si>
  <si>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</si>
  <si>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</si>
  <si>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</si>
  <si>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</si>
  <si>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</si>
  <si>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</si>
  <si>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</si>
  <si>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</si>
  <si>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</si>
  <si>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</si>
  <si>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</si>
  <si>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</si>
  <si>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</si>
  <si>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</si>
  <si>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</si>
  <si>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</si>
  <si>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</si>
  <si>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</si>
  <si>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</si>
  <si>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</si>
  <si>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</si>
  <si>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</si>
  <si>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</si>
  <si>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</si>
  <si>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</si>
  <si>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</si>
  <si>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</si>
  <si>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</si>
  <si>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</si>
  <si>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</si>
  <si>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</si>
  <si>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</si>
  <si>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</si>
  <si>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</si>
  <si>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</si>
  <si>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</si>
  <si>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</si>
  <si>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</si>
  <si>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</si>
  <si>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</si>
  <si>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</si>
  <si>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</si>
  <si>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</si>
  <si>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</si>
  <si>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</si>
  <si>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</si>
  <si>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</si>
  <si>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</si>
  <si>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</si>
  <si>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</si>
  <si>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</si>
  <si>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</si>
  <si>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</si>
  <si>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</si>
  <si>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</si>
  <si>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</si>
  <si>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</si>
  <si>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</si>
  <si>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</si>
  <si>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</si>
  <si>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</si>
  <si>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</si>
  <si>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</si>
  <si>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</si>
  <si>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</si>
  <si>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</si>
  <si>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</si>
  <si>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</si>
  <si>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</si>
  <si>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</si>
  <si>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</si>
  <si>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</si>
  <si>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</si>
  <si>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</si>
  <si>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</si>
  <si>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</si>
  <si>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</si>
  <si>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</si>
  <si>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</si>
  <si>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</si>
  <si>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</si>
  <si>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</si>
  <si>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</si>
  <si>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</si>
  <si>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</si>
  <si>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</si>
  <si>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</si>
  <si>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</si>
  <si>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</si>
  <si>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</si>
  <si>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</si>
  <si>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</si>
  <si>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</si>
  <si>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</si>
  <si>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</si>
  <si>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</si>
  <si>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</si>
  <si>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</si>
  <si>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</si>
  <si>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</si>
  <si>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</si>
  <si>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</si>
  <si>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</si>
  <si>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</si>
  <si>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</si>
  <si>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</si>
  <si>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</si>
  <si>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</si>
  <si>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</si>
  <si>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</si>
  <si>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</si>
  <si>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</si>
  <si>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</si>
  <si>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</si>
  <si>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</si>
  <si>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</si>
  <si>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</si>
  <si>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</si>
  <si>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</si>
  <si>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</si>
  <si>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</si>
  <si>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</si>
  <si>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</si>
  <si>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</si>
  <si>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</si>
  <si>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</si>
  <si>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</si>
  <si>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</si>
  <si>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</si>
  <si>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</si>
  <si>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</si>
  <si>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</si>
  <si>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</si>
  <si>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</si>
  <si>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</si>
  <si>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</si>
  <si>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</si>
  <si>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</si>
  <si>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</si>
  <si>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</si>
  <si>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</si>
  <si>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</si>
  <si>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</si>
  <si>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</si>
  <si>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</si>
  <si>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</si>
  <si>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</si>
  <si>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</si>
  <si>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</si>
  <si>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</si>
  <si>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</si>
  <si>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</si>
  <si>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</si>
  <si>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</si>
  <si>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</si>
  <si>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</si>
  <si>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</si>
  <si>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</si>
  <si>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</si>
  <si>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</si>
  <si>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</si>
  <si>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</si>
  <si>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</si>
  <si>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</si>
  <si>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</si>
  <si>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</si>
  <si>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</si>
  <si>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</si>
  <si>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</si>
  <si>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</si>
  <si>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</si>
  <si>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</si>
  <si>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</si>
  <si>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</si>
  <si>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</si>
  <si>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</si>
  <si>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</si>
  <si>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</si>
  <si>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</si>
  <si>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</si>
  <si>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</si>
  <si>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</si>
  <si>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</si>
  <si>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</si>
  <si>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</si>
  <si>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</si>
  <si>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</si>
  <si>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</si>
  <si>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</si>
  <si>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</si>
  <si>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</si>
  <si>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</si>
  <si>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</si>
  <si>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</si>
  <si>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</si>
  <si>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</si>
  <si>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</si>
  <si>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</si>
  <si>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</si>
  <si>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</si>
  <si>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</si>
  <si>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</si>
  <si>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</si>
  <si>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</si>
  <si>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</si>
  <si>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</si>
  <si>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</si>
  <si>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</si>
  <si>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</si>
  <si>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</si>
  <si>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</si>
  <si>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</si>
  <si>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</si>
  <si>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</si>
  <si>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</si>
  <si>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</si>
  <si>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</si>
  <si>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</si>
  <si>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</si>
  <si>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</si>
  <si>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</si>
  <si>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</si>
  <si>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</si>
  <si>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</si>
  <si>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</si>
  <si>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</si>
  <si>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</si>
  <si>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</si>
  <si>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</si>
  <si>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</si>
  <si>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</si>
  <si>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</si>
  <si>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</si>
  <si>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</si>
  <si>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</si>
  <si>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</si>
  <si>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</si>
  <si>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</si>
  <si>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</si>
  <si>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</si>
  <si>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</si>
  <si>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</si>
  <si>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</si>
  <si>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</si>
  <si>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</si>
  <si>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</si>
  <si>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</si>
  <si>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</si>
  <si>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</si>
  <si>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</si>
  <si>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</si>
  <si>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</si>
  <si>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</si>
  <si>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</si>
  <si>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</si>
  <si>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</si>
  <si>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</si>
  <si>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</si>
  <si>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</si>
  <si>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</si>
  <si>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</si>
  <si>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</si>
  <si>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</si>
  <si>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</si>
  <si>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</si>
  <si>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</si>
  <si>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</si>
  <si>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</si>
  <si>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</si>
  <si>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</si>
  <si>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</si>
  <si>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</si>
  <si>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</si>
  <si>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</si>
  <si>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</si>
  <si>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</si>
  <si>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</si>
  <si>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</si>
  <si>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</si>
  <si>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</si>
  <si>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</si>
  <si>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</si>
  <si>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</si>
  <si>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</si>
  <si>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</si>
  <si>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</si>
  <si>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</si>
  <si>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</si>
  <si>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</si>
  <si>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</si>
  <si>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</si>
  <si>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</si>
  <si>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</si>
  <si>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</si>
  <si>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</si>
  <si>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</si>
  <si>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</si>
  <si>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</si>
  <si>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</si>
  <si>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</si>
  <si>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</si>
  <si>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</si>
  <si>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</si>
  <si>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</si>
  <si>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</si>
  <si>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</si>
  <si>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</si>
  <si>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</si>
  <si>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</si>
  <si>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</si>
  <si>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</si>
  <si>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</si>
  <si>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</si>
  <si>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</si>
  <si>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</si>
  <si>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</si>
  <si>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</si>
  <si>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</si>
  <si>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</si>
  <si>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</si>
  <si>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</si>
  <si>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</si>
  <si>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</si>
  <si>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</si>
  <si>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</si>
  <si>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</si>
  <si>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</si>
  <si>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</si>
  <si>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</si>
  <si>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</si>
  <si>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</si>
  <si>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</si>
  <si>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</si>
  <si>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</si>
  <si>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</si>
  <si>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</si>
  <si>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</si>
  <si>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</si>
  <si>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</si>
  <si>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</si>
  <si>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</si>
  <si>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</si>
  <si>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</si>
  <si>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</si>
  <si>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</si>
  <si>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</si>
  <si>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</si>
  <si>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</si>
  <si>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</si>
  <si>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</si>
  <si>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</si>
  <si>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</si>
  <si>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</si>
  <si>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</si>
  <si>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</si>
  <si>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</si>
  <si>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</si>
  <si>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</si>
  <si>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</si>
  <si>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</si>
  <si>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</si>
  <si>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</si>
  <si>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</si>
  <si>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</si>
  <si>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</si>
  <si>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</si>
  <si>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</si>
  <si>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</si>
  <si>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</si>
  <si>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</si>
  <si>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</si>
  <si>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</si>
  <si>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</si>
  <si>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</si>
  <si>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</si>
  <si>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</si>
  <si>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</si>
  <si>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</si>
  <si>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</si>
  <si>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</si>
  <si>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</si>
  <si>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</si>
  <si>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</si>
  <si>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</si>
  <si>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</si>
  <si>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</si>
  <si>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</si>
  <si>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</si>
  <si>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</si>
  <si>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</si>
  <si>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</si>
  <si>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</si>
  <si>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</si>
  <si>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</si>
  <si>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</si>
  <si>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</si>
  <si>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</si>
  <si>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</si>
  <si>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</si>
  <si>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</si>
  <si>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</si>
  <si>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</si>
  <si>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</si>
  <si>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</si>
  <si>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</si>
  <si>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</si>
  <si>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</si>
  <si>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</si>
  <si>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</si>
  <si>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</si>
  <si>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</si>
  <si>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</si>
  <si>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</si>
  <si>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</si>
  <si>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</si>
  <si>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</si>
  <si>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</si>
  <si>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</si>
  <si>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</si>
  <si>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</si>
  <si>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</si>
  <si>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</si>
  <si>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</si>
  <si>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</si>
  <si>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</si>
  <si>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</si>
  <si>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</si>
  <si>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</si>
  <si>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</si>
  <si>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</si>
  <si>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</si>
  <si>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</si>
  <si>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</si>
  <si>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</si>
  <si>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</si>
  <si>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</si>
  <si>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</si>
  <si>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</si>
  <si>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</si>
  <si>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</si>
  <si>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</si>
  <si>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</si>
  <si>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</si>
  <si>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</si>
  <si>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</si>
  <si>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</si>
  <si>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</si>
  <si>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</si>
  <si>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</si>
  <si>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</si>
  <si>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</si>
  <si>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</si>
  <si>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</si>
  <si>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</si>
  <si>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</si>
  <si>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</si>
  <si>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</si>
  <si>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</si>
  <si>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</si>
  <si>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</si>
  <si>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</si>
  <si>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</si>
  <si>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</si>
  <si>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</si>
  <si>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</si>
  <si>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</si>
  <si>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</si>
  <si>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</si>
  <si>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</si>
  <si>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</si>
  <si>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</si>
  <si>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</si>
  <si>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</si>
  <si>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</si>
  <si>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</si>
  <si>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</si>
  <si>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</si>
  <si>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</si>
  <si>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</si>
  <si>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</si>
  <si>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</si>
  <si>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</si>
  <si>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</si>
  <si>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</si>
  <si>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</si>
  <si>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</si>
  <si>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</si>
  <si>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</si>
  <si>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</si>
  <si>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</si>
  <si>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</si>
  <si>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</si>
  <si>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</si>
  <si>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</si>
  <si>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</si>
  <si>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</si>
  <si>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</si>
  <si>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</si>
  <si>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</si>
  <si>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</si>
  <si>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</si>
  <si>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</si>
  <si>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</si>
  <si>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</si>
  <si>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</si>
  <si>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</si>
  <si>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</si>
  <si>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</si>
  <si>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</si>
  <si>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</si>
  <si>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</si>
  <si>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</si>
  <si>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</si>
  <si>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</si>
  <si>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</si>
  <si>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</si>
  <si>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</si>
  <si>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</si>
  <si>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</si>
  <si>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</si>
  <si>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</si>
  <si>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</si>
  <si>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</si>
  <si>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</si>
  <si>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</si>
  <si>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</si>
  <si>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</si>
  <si>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</si>
  <si>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</si>
  <si>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</si>
  <si>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</si>
  <si>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</si>
  <si>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</si>
  <si>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</si>
  <si>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</si>
  <si>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</si>
  <si>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</si>
  <si>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</si>
  <si>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</si>
  <si>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</si>
  <si>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</si>
  <si>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</si>
  <si>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</si>
  <si>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</si>
  <si>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</si>
  <si>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</si>
  <si>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</si>
  <si>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</si>
  <si>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</si>
  <si>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</si>
  <si>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</si>
  <si>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</si>
  <si>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</si>
  <si>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</si>
  <si>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</si>
  <si>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</si>
  <si>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</si>
  <si>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</si>
  <si>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</si>
  <si>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</si>
  <si>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</si>
  <si>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</si>
  <si>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</si>
  <si>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</si>
  <si>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</si>
  <si>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</si>
  <si>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</si>
  <si>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</si>
  <si>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</si>
  <si>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</si>
  <si>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</si>
  <si>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</si>
  <si>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</si>
  <si>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</si>
  <si>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</si>
  <si>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</si>
  <si>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</si>
  <si>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</si>
  <si>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</si>
  <si>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</si>
  <si>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</si>
  <si>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</si>
  <si>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</si>
  <si>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</si>
  <si>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</si>
  <si>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</si>
  <si>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</si>
  <si>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</si>
  <si>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</si>
  <si>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</si>
  <si>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</si>
  <si>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</si>
  <si>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</si>
  <si>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</si>
  <si>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</si>
  <si>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</si>
  <si>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</si>
  <si>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</si>
  <si>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</si>
  <si>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</si>
  <si>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</si>
  <si>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</si>
  <si>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</si>
  <si>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</si>
  <si>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</si>
  <si>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</si>
  <si>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</si>
  <si>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</si>
  <si>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</si>
  <si>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</si>
  <si>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</si>
  <si>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</si>
  <si>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</si>
  <si>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</si>
  <si>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</si>
  <si>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</si>
  <si>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</si>
  <si>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</si>
  <si>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</si>
  <si>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</si>
  <si>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</si>
  <si>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</si>
  <si>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</si>
  <si>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</si>
  <si>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</si>
  <si>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</si>
  <si>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</si>
  <si>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</si>
  <si>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</si>
  <si>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</si>
  <si>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</si>
  <si>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</si>
  <si>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</si>
  <si>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</si>
  <si>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</si>
  <si>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</si>
  <si>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</si>
  <si>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</si>
  <si>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</si>
  <si>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</si>
  <si>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</si>
  <si>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</si>
  <si>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</si>
  <si>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</si>
  <si>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</si>
  <si>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</si>
  <si>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</si>
  <si>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</si>
  <si>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</si>
  <si>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</si>
  <si>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</si>
  <si>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</si>
  <si>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</si>
  <si>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</si>
  <si>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</si>
  <si>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</si>
  <si>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</si>
  <si>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</si>
  <si>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</si>
  <si>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</si>
  <si>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</si>
  <si>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</si>
  <si>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</si>
  <si>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</si>
  <si>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</si>
  <si>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</si>
  <si>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</si>
  <si>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</si>
  <si>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</si>
  <si>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</si>
  <si>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</si>
  <si>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</si>
  <si>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</si>
  <si>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</si>
  <si>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</si>
  <si>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</si>
  <si>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</si>
  <si>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</si>
  <si>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</si>
  <si>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</si>
  <si>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</si>
  <si>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</si>
  <si>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</si>
  <si>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</si>
  <si>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</si>
  <si>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</si>
  <si>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</si>
  <si>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</si>
  <si>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</si>
  <si>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</si>
  <si>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</si>
  <si>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</si>
  <si>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</si>
  <si>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Съставител:Евелина Миленска</t>
  </si>
  <si>
    <t>Ръководител:Бойко Недялков</t>
  </si>
  <si>
    <t xml:space="preserve">А. ВЗЕМАНИЯ        от Франция                                    </t>
  </si>
  <si>
    <t>Б. ЗАДЪЛЖЕНИЯ - Франция</t>
  </si>
  <si>
    <t xml:space="preserve">А. ВЗЕМАНИЯ          от Испания                         </t>
  </si>
  <si>
    <t xml:space="preserve">А. ВЗЕМАНИЯ              Германия           </t>
  </si>
  <si>
    <t>Б. ЗАДЪЛЖЕНИЯ към Германия</t>
  </si>
  <si>
    <t>А. ВЗЕМАНИЯ             Румъния</t>
  </si>
  <si>
    <t>Б. ЗАДЪЛЖЕНИЯ към Румъния</t>
  </si>
  <si>
    <t>01.01.2016-30.06.2016</t>
  </si>
  <si>
    <t>15.07.2016 г.</t>
  </si>
  <si>
    <t>Дата на съставяне: 15.07.2016 г.</t>
  </si>
  <si>
    <t xml:space="preserve">Дата на съставяне:15.07.2016 г.                                       </t>
  </si>
  <si>
    <t xml:space="preserve">Дата  на съставяне: 15.07.2016  г.                                                                                                                          </t>
  </si>
  <si>
    <t xml:space="preserve">Дата на съставяне:15.07.2016 г.             </t>
  </si>
  <si>
    <t>Дата на съставяне:15.07.2016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</si>
</sst>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01-12\Mezdinni_FO_97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6 в т.ч.Франция"/>
      <sheetName val="справка №6 в т.ч. Испания"/>
      <sheetName val="справка №6 в т.ч.Италия"/>
      <sheetName val="справка №6 в т.ч.Германия"/>
      <sheetName val="справка №7"/>
      <sheetName val="справка №8"/>
    </sheetNames>
    <sheetDataSet>
      <sheetData sheetId="0">
        <row r="3">
          <cell r="E3" t="str">
            <v> 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26" sqref="A26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94" t="s">
        <v>1</v>
      </c>
      <c r="B3" s="595"/>
      <c r="C3" s="595"/>
      <c r="D3" s="595"/>
      <c r="E3" s="462" t="s">
        <v>863</v>
      </c>
      <c r="F3" s="217" t="s">
        <v>2</v>
      </c>
      <c r="G3" s="172"/>
      <c r="H3" s="461">
        <v>819363984</v>
      </c>
    </row>
    <row r="4" spans="1:8" ht="13.5">
      <c r="A4" s="594" t="s">
        <v>3</v>
      </c>
      <c r="B4" s="600"/>
      <c r="C4" s="600"/>
      <c r="D4" s="600"/>
      <c r="E4" s="504" t="s">
        <v>864</v>
      </c>
      <c r="F4" s="596" t="s">
        <v>4</v>
      </c>
      <c r="G4" s="597"/>
      <c r="H4" s="461" t="s">
        <v>159</v>
      </c>
    </row>
    <row r="5" spans="1:8" ht="13.5">
      <c r="A5" s="594" t="s">
        <v>5</v>
      </c>
      <c r="B5" s="595"/>
      <c r="C5" s="595"/>
      <c r="D5" s="595"/>
      <c r="E5" s="505" t="s">
        <v>874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3.5">
      <c r="A12" s="235" t="s">
        <v>24</v>
      </c>
      <c r="B12" s="241" t="s">
        <v>25</v>
      </c>
      <c r="C12" s="151">
        <v>1218</v>
      </c>
      <c r="D12" s="151">
        <v>1220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3.5">
      <c r="A13" s="235" t="s">
        <v>28</v>
      </c>
      <c r="B13" s="241" t="s">
        <v>29</v>
      </c>
      <c r="C13" s="151">
        <v>3456</v>
      </c>
      <c r="D13" s="151">
        <v>3759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105</v>
      </c>
      <c r="D14" s="151">
        <v>114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66</v>
      </c>
      <c r="D15" s="151">
        <v>52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f>129+25</f>
        <v>154</v>
      </c>
      <c r="D16" s="151">
        <f>109+23</f>
        <v>132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25</v>
      </c>
      <c r="D17" s="151">
        <v>37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5354</v>
      </c>
      <c r="D19" s="155">
        <f>SUM(D11:D18)</f>
        <v>5644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1343</v>
      </c>
      <c r="H20" s="158">
        <v>1345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1643</v>
      </c>
      <c r="H25" s="154">
        <f>H19+H20+H21</f>
        <v>1645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3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895</v>
      </c>
      <c r="H27" s="154">
        <f>SUM(H28:H30)</f>
        <v>859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1336</v>
      </c>
      <c r="H28" s="152">
        <v>1300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34</v>
      </c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-209</v>
      </c>
      <c r="H32" s="316"/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686</v>
      </c>
      <c r="H33" s="154">
        <f>H27+H31+H32</f>
        <v>893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5329</v>
      </c>
      <c r="H36" s="154">
        <f>H25+H17+H33</f>
        <v>5538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1147+895-159</f>
        <v>1883</v>
      </c>
      <c r="H44" s="152">
        <f>1306+775-319</f>
        <v>1762</v>
      </c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668</v>
      </c>
      <c r="H48" s="152">
        <v>729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2551</v>
      </c>
      <c r="H49" s="154">
        <f>SUM(H43:H48)</f>
        <v>2491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163</v>
      </c>
      <c r="H53" s="152">
        <v>163</v>
      </c>
    </row>
    <row r="54" spans="1:8" ht="13.5">
      <c r="A54" s="235" t="s">
        <v>166</v>
      </c>
      <c r="B54" s="249" t="s">
        <v>167</v>
      </c>
      <c r="C54" s="151">
        <v>59</v>
      </c>
      <c r="D54" s="151">
        <v>59</v>
      </c>
      <c r="E54" s="237" t="s">
        <v>168</v>
      </c>
      <c r="F54" s="245" t="s">
        <v>169</v>
      </c>
      <c r="G54" s="152">
        <v>1269</v>
      </c>
      <c r="H54" s="152">
        <v>1377</v>
      </c>
    </row>
    <row r="55" spans="1:18" ht="26.25">
      <c r="A55" s="269" t="s">
        <v>170</v>
      </c>
      <c r="B55" s="270" t="s">
        <v>171</v>
      </c>
      <c r="C55" s="155">
        <f>C19+C20+C21+C27+C32+C45+C51+C53+C54</f>
        <v>5416</v>
      </c>
      <c r="D55" s="155">
        <f>D19+D20+D21+D27+D32+D45+D51+D53+D54</f>
        <v>5707</v>
      </c>
      <c r="E55" s="237" t="s">
        <v>172</v>
      </c>
      <c r="F55" s="261" t="s">
        <v>173</v>
      </c>
      <c r="G55" s="154">
        <f>G49+G51+G52+G53+G54</f>
        <v>3983</v>
      </c>
      <c r="H55" s="154">
        <f>H49+H51+H52+H53+H54</f>
        <v>4031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1381</v>
      </c>
      <c r="D58" s="151">
        <v>1289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386</v>
      </c>
      <c r="D59" s="151">
        <v>506</v>
      </c>
      <c r="E59" s="251" t="s">
        <v>181</v>
      </c>
      <c r="F59" s="242" t="s">
        <v>182</v>
      </c>
      <c r="G59" s="152">
        <v>4</v>
      </c>
      <c r="H59" s="152">
        <v>5</v>
      </c>
      <c r="M59" s="157"/>
    </row>
    <row r="60" spans="1:8" ht="13.5">
      <c r="A60" s="235" t="s">
        <v>183</v>
      </c>
      <c r="B60" s="241" t="s">
        <v>184</v>
      </c>
      <c r="C60" s="151">
        <v>575</v>
      </c>
      <c r="D60" s="151">
        <v>578</v>
      </c>
      <c r="E60" s="237" t="s">
        <v>185</v>
      </c>
      <c r="F60" s="242" t="s">
        <v>186</v>
      </c>
      <c r="G60" s="152">
        <v>159</v>
      </c>
      <c r="H60" s="152">
        <v>319</v>
      </c>
    </row>
    <row r="61" spans="1:18" ht="13.5">
      <c r="A61" s="235" t="s">
        <v>187</v>
      </c>
      <c r="B61" s="244" t="s">
        <v>188</v>
      </c>
      <c r="C61" s="151">
        <v>476</v>
      </c>
      <c r="D61" s="151">
        <v>654</v>
      </c>
      <c r="E61" s="243" t="s">
        <v>189</v>
      </c>
      <c r="F61" s="272" t="s">
        <v>190</v>
      </c>
      <c r="G61" s="154">
        <f>SUM(G62:G68)</f>
        <v>3418</v>
      </c>
      <c r="H61" s="154">
        <f>SUM(H62:H68)</f>
        <v>3372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16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2818</v>
      </c>
      <c r="D64" s="155">
        <f>SUM(D58:D63)</f>
        <v>3027</v>
      </c>
      <c r="E64" s="237" t="s">
        <v>200</v>
      </c>
      <c r="F64" s="242" t="s">
        <v>201</v>
      </c>
      <c r="G64" s="152">
        <f>2733+465</f>
        <v>3198</v>
      </c>
      <c r="H64" s="152">
        <f>2730+414-16</f>
        <v>3128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1</v>
      </c>
      <c r="H65" s="152">
        <v>15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135</v>
      </c>
      <c r="H66" s="152">
        <v>132</v>
      </c>
    </row>
    <row r="67" spans="1:8" ht="13.5">
      <c r="A67" s="235" t="s">
        <v>207</v>
      </c>
      <c r="B67" s="241" t="s">
        <v>208</v>
      </c>
      <c r="C67" s="151">
        <f>169+1126</f>
        <v>1295</v>
      </c>
      <c r="D67" s="151">
        <f>169+1132</f>
        <v>1301</v>
      </c>
      <c r="E67" s="237" t="s">
        <v>209</v>
      </c>
      <c r="F67" s="242" t="s">
        <v>210</v>
      </c>
      <c r="G67" s="152">
        <v>57</v>
      </c>
      <c r="H67" s="152">
        <v>53</v>
      </c>
    </row>
    <row r="68" spans="1:8" ht="13.5">
      <c r="A68" s="235" t="s">
        <v>211</v>
      </c>
      <c r="B68" s="241" t="s">
        <v>212</v>
      </c>
      <c r="C68" s="151">
        <f>3130+20-169</f>
        <v>2981</v>
      </c>
      <c r="D68" s="151">
        <f>2924-169+19</f>
        <v>2774</v>
      </c>
      <c r="E68" s="237" t="s">
        <v>213</v>
      </c>
      <c r="F68" s="242" t="s">
        <v>214</v>
      </c>
      <c r="G68" s="152">
        <v>27</v>
      </c>
      <c r="H68" s="152">
        <v>28</v>
      </c>
    </row>
    <row r="69" spans="1:8" ht="13.5">
      <c r="A69" s="235" t="s">
        <v>215</v>
      </c>
      <c r="B69" s="241" t="s">
        <v>216</v>
      </c>
      <c r="C69" s="151">
        <v>85</v>
      </c>
      <c r="D69" s="151">
        <v>11</v>
      </c>
      <c r="E69" s="251" t="s">
        <v>78</v>
      </c>
      <c r="F69" s="242" t="s">
        <v>217</v>
      </c>
      <c r="G69" s="152">
        <f>6+11+6</f>
        <v>23</v>
      </c>
      <c r="H69" s="152">
        <f>6+10+7</f>
        <v>23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3604</v>
      </c>
      <c r="H71" s="161">
        <f>H59+H60+H61+H69+H70</f>
        <v>3719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110</v>
      </c>
      <c r="D72" s="151">
        <v>160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f>9+7+29</f>
        <v>45</v>
      </c>
      <c r="D74" s="151">
        <f>7+7+13</f>
        <v>27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4605</v>
      </c>
      <c r="D75" s="155">
        <f>SUM(D67:D74)</f>
        <v>4362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3604</v>
      </c>
      <c r="H79" s="162">
        <f>H71+H74+H75+H76</f>
        <v>3719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4</v>
      </c>
      <c r="D87" s="151">
        <v>8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f>17+41</f>
        <v>58</v>
      </c>
      <c r="D88" s="151">
        <f>16+153</f>
        <v>169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>
        <v>15</v>
      </c>
      <c r="D89" s="151">
        <v>15</v>
      </c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77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7500</v>
      </c>
      <c r="D93" s="155">
        <f>D64+D75+D84+D91+D92</f>
        <v>7581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12916</v>
      </c>
      <c r="D94" s="164">
        <f>D93+D55</f>
        <v>13288</v>
      </c>
      <c r="E94" s="449" t="s">
        <v>270</v>
      </c>
      <c r="F94" s="289" t="s">
        <v>271</v>
      </c>
      <c r="G94" s="165">
        <f>G36+G39+G55+G79</f>
        <v>12916</v>
      </c>
      <c r="H94" s="165">
        <f>H36+H39+H55+H79</f>
        <v>13288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851</v>
      </c>
      <c r="B96" s="432"/>
      <c r="C96" s="150"/>
      <c r="D96" s="150"/>
      <c r="E96" s="433"/>
      <c r="F96" s="170"/>
      <c r="G96" s="577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876</v>
      </c>
      <c r="B98" s="432"/>
      <c r="C98" s="598" t="s">
        <v>381</v>
      </c>
      <c r="D98" s="598"/>
      <c r="E98" s="598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98" t="s">
        <v>781</v>
      </c>
      <c r="D100" s="599"/>
      <c r="E100" s="59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00">
      <selection activeCell="A24" sqref="A24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01.01.2016-30.06.2016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872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366</v>
      </c>
      <c r="D28" s="108">
        <v>366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366</v>
      </c>
      <c r="D43" s="104">
        <f>D24+D28+D29+D31+D30+D32+D33+D38</f>
        <v>366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366</v>
      </c>
      <c r="D44" s="103">
        <f>D43+D21+D19+D9</f>
        <v>366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873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10</v>
      </c>
      <c r="D87" s="108">
        <v>10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10</v>
      </c>
      <c r="D96" s="104">
        <f>D85+D80+D75+D71+D95</f>
        <v>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10</v>
      </c>
      <c r="D97" s="104">
        <f>D96+D68+D66</f>
        <v>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21" sqref="A2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40" t="str">
        <f>'справка №1-БАЛАНС'!E3</f>
        <v> "Торготерм"АД</v>
      </c>
      <c r="C4" s="640"/>
      <c r="D4" s="640"/>
      <c r="E4" s="640"/>
      <c r="F4" s="640"/>
      <c r="G4" s="646" t="s">
        <v>2</v>
      </c>
      <c r="H4" s="646"/>
      <c r="I4" s="500">
        <f>'справка №1-БАЛАНС'!H3</f>
        <v>819363984</v>
      </c>
    </row>
    <row r="5" spans="1:9" ht="13.5">
      <c r="A5" s="501" t="s">
        <v>5</v>
      </c>
      <c r="B5" s="641" t="str">
        <f>'справка №1-БАЛАНС'!E5</f>
        <v>01.01.2016-30.06.2016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1.25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43"/>
      <c r="C30" s="643"/>
      <c r="D30" s="459" t="s">
        <v>819</v>
      </c>
      <c r="E30" s="642"/>
      <c r="F30" s="642"/>
      <c r="G30" s="642"/>
      <c r="H30" s="420" t="s">
        <v>781</v>
      </c>
      <c r="I30" s="642"/>
      <c r="J30" s="64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E24" sqref="E24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7" t="str">
        <f>'справка №1-БАЛАНС'!E3</f>
        <v> "Торготерм"АД</v>
      </c>
      <c r="C5" s="647"/>
      <c r="D5" s="64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8" t="str">
        <f>'справка №1-БАЛАНС'!E5</f>
        <v>01.01.2016-30.06.2016</v>
      </c>
      <c r="C6" s="64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49" t="s">
        <v>849</v>
      </c>
      <c r="D151" s="649"/>
      <c r="E151" s="649"/>
      <c r="F151" s="64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9" t="s">
        <v>856</v>
      </c>
      <c r="D153" s="649"/>
      <c r="E153" s="649"/>
      <c r="F153" s="64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1" sqref="C11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602" t="str">
        <f>'справка №1-БАЛАНС'!E3</f>
        <v> "Торготерм"АД</v>
      </c>
      <c r="C2" s="602"/>
      <c r="D2" s="602"/>
      <c r="E2" s="602"/>
      <c r="F2" s="604" t="s">
        <v>2</v>
      </c>
      <c r="G2" s="604"/>
      <c r="H2" s="526">
        <f>'справка №1-БАЛАНС'!H3</f>
        <v>819363984</v>
      </c>
    </row>
    <row r="3" spans="1:8" ht="13.5">
      <c r="A3" s="467" t="s">
        <v>274</v>
      </c>
      <c r="B3" s="602" t="str">
        <f>'справка №1-БАЛАНС'!E4</f>
        <v>неконсолидиран</v>
      </c>
      <c r="C3" s="602"/>
      <c r="D3" s="602"/>
      <c r="E3" s="60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3" t="str">
        <f>'справка №1-БАЛАНС'!E5</f>
        <v>01.01.2016-30.06.2016</v>
      </c>
      <c r="C4" s="603"/>
      <c r="D4" s="603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2780</v>
      </c>
      <c r="D9" s="46">
        <v>2967</v>
      </c>
      <c r="E9" s="298" t="s">
        <v>284</v>
      </c>
      <c r="F9" s="549" t="s">
        <v>285</v>
      </c>
      <c r="G9" s="550">
        <v>4837</v>
      </c>
      <c r="H9" s="550">
        <v>4957</v>
      </c>
    </row>
    <row r="10" spans="1:8" ht="12">
      <c r="A10" s="298" t="s">
        <v>286</v>
      </c>
      <c r="B10" s="299" t="s">
        <v>287</v>
      </c>
      <c r="C10" s="46">
        <v>174</v>
      </c>
      <c r="D10" s="46">
        <v>205</v>
      </c>
      <c r="E10" s="298" t="s">
        <v>288</v>
      </c>
      <c r="F10" s="549" t="s">
        <v>289</v>
      </c>
      <c r="G10" s="550">
        <v>29</v>
      </c>
      <c r="H10" s="550">
        <v>85</v>
      </c>
    </row>
    <row r="11" spans="1:8" ht="12">
      <c r="A11" s="298" t="s">
        <v>290</v>
      </c>
      <c r="B11" s="299" t="s">
        <v>291</v>
      </c>
      <c r="C11" s="46">
        <v>476</v>
      </c>
      <c r="D11" s="46">
        <v>374</v>
      </c>
      <c r="E11" s="300" t="s">
        <v>292</v>
      </c>
      <c r="F11" s="549" t="s">
        <v>293</v>
      </c>
      <c r="G11" s="550">
        <v>16</v>
      </c>
      <c r="H11" s="550">
        <v>59</v>
      </c>
    </row>
    <row r="12" spans="1:8" ht="12">
      <c r="A12" s="298" t="s">
        <v>294</v>
      </c>
      <c r="B12" s="299" t="s">
        <v>295</v>
      </c>
      <c r="C12" s="46">
        <v>1274</v>
      </c>
      <c r="D12" s="46">
        <v>1168</v>
      </c>
      <c r="E12" s="300" t="s">
        <v>78</v>
      </c>
      <c r="F12" s="549" t="s">
        <v>296</v>
      </c>
      <c r="G12" s="550">
        <v>63</v>
      </c>
      <c r="H12" s="550">
        <v>77</v>
      </c>
    </row>
    <row r="13" spans="1:18" ht="12">
      <c r="A13" s="298" t="s">
        <v>297</v>
      </c>
      <c r="B13" s="299" t="s">
        <v>298</v>
      </c>
      <c r="C13" s="46">
        <v>169</v>
      </c>
      <c r="D13" s="46">
        <v>150</v>
      </c>
      <c r="E13" s="301" t="s">
        <v>51</v>
      </c>
      <c r="F13" s="551" t="s">
        <v>299</v>
      </c>
      <c r="G13" s="548">
        <f>SUM(G9:G12)</f>
        <v>4945</v>
      </c>
      <c r="H13" s="548">
        <f>SUM(H9:H12)</f>
        <v>5178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50</v>
      </c>
      <c r="D14" s="46">
        <v>107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103-35</f>
        <v>68</v>
      </c>
      <c r="D15" s="47">
        <f>-32+10</f>
        <v>-22</v>
      </c>
      <c r="E15" s="296" t="s">
        <v>304</v>
      </c>
      <c r="F15" s="554" t="s">
        <v>305</v>
      </c>
      <c r="G15" s="550">
        <v>113</v>
      </c>
      <c r="H15" s="550">
        <v>123</v>
      </c>
    </row>
    <row r="16" spans="1:8" ht="12">
      <c r="A16" s="298" t="s">
        <v>306</v>
      </c>
      <c r="B16" s="299" t="s">
        <v>307</v>
      </c>
      <c r="C16" s="47">
        <v>197</v>
      </c>
      <c r="D16" s="47">
        <v>206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5188</v>
      </c>
      <c r="D19" s="49">
        <f>SUM(D9:D15)+D16</f>
        <v>5155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58</v>
      </c>
      <c r="D22" s="46">
        <v>48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</v>
      </c>
      <c r="D24" s="46">
        <v>6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15</v>
      </c>
      <c r="D25" s="46">
        <v>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79</v>
      </c>
      <c r="D26" s="49">
        <f>SUM(D22:D25)</f>
        <v>69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5267</v>
      </c>
      <c r="D28" s="50">
        <f>D26+D19</f>
        <v>5224</v>
      </c>
      <c r="E28" s="127" t="s">
        <v>338</v>
      </c>
      <c r="F28" s="554" t="s">
        <v>339</v>
      </c>
      <c r="G28" s="548">
        <f>G13+G15+G24</f>
        <v>5058</v>
      </c>
      <c r="H28" s="548">
        <f>H13+H15+H24</f>
        <v>5301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77</v>
      </c>
      <c r="E30" s="127" t="s">
        <v>342</v>
      </c>
      <c r="F30" s="554" t="s">
        <v>343</v>
      </c>
      <c r="G30" s="53">
        <f>IF((C28-G28)&gt;0,C28-G28,0)</f>
        <v>209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5267</v>
      </c>
      <c r="D33" s="49">
        <f>D28-D31+D32</f>
        <v>5224</v>
      </c>
      <c r="E33" s="127" t="s">
        <v>352</v>
      </c>
      <c r="F33" s="554" t="s">
        <v>353</v>
      </c>
      <c r="G33" s="53">
        <f>G32-G31+G28</f>
        <v>5058</v>
      </c>
      <c r="H33" s="53">
        <f>H32-H31+H28</f>
        <v>5301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77</v>
      </c>
      <c r="E34" s="128" t="s">
        <v>356</v>
      </c>
      <c r="F34" s="554" t="s">
        <v>357</v>
      </c>
      <c r="G34" s="548">
        <f>IF((C33-G33)&gt;0,C33-G33,0)</f>
        <v>209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77</v>
      </c>
      <c r="E39" s="313" t="s">
        <v>368</v>
      </c>
      <c r="F39" s="558" t="s">
        <v>369</v>
      </c>
      <c r="G39" s="559">
        <f>IF(G34&gt;0,IF(C35+G34&lt;0,0,C35+G34),IF(C34-C35&lt;0,C35-C34,0))</f>
        <v>209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77</v>
      </c>
      <c r="E41" s="127" t="s">
        <v>375</v>
      </c>
      <c r="F41" s="571" t="s">
        <v>376</v>
      </c>
      <c r="G41" s="52">
        <f>IF(C39=0,IF(G39-G40&gt;0,G39-G40+C40,0),IF(C39-C40&lt;0,C40-C39+G40,0))</f>
        <v>209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5267</v>
      </c>
      <c r="D42" s="53">
        <f>D33+D35+D39</f>
        <v>5301</v>
      </c>
      <c r="E42" s="128" t="s">
        <v>379</v>
      </c>
      <c r="F42" s="129" t="s">
        <v>380</v>
      </c>
      <c r="G42" s="53">
        <f>G39+G33</f>
        <v>5267</v>
      </c>
      <c r="H42" s="53">
        <f>H39+H33</f>
        <v>5301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875</v>
      </c>
      <c r="C48" s="427" t="s">
        <v>381</v>
      </c>
      <c r="D48" s="601"/>
      <c r="E48" s="601"/>
      <c r="F48" s="601"/>
      <c r="G48" s="601"/>
      <c r="H48" s="60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1"/>
      <c r="E50" s="601"/>
      <c r="F50" s="601"/>
      <c r="G50" s="601"/>
      <c r="H50" s="60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36" sqref="C36:C3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3.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4823</v>
      </c>
      <c r="D10" s="54">
        <v>4830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-4202+196+85</f>
        <v>-3921</v>
      </c>
      <c r="D11" s="575">
        <f>-4365+112+34</f>
        <v>-4219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-748</v>
      </c>
      <c r="D13" s="575">
        <v>-660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272</v>
      </c>
      <c r="D14" s="575">
        <v>196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>
        <v>-18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-5</v>
      </c>
      <c r="D18" s="575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-65</v>
      </c>
      <c r="D19" s="575">
        <v>-43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356</v>
      </c>
      <c r="D20" s="55">
        <f>SUM(D10:D19)</f>
        <v>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-196</v>
      </c>
      <c r="D22" s="575">
        <v>-112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-196</v>
      </c>
      <c r="D32" s="55">
        <f>SUM(D22:D31)</f>
        <v>-112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190</v>
      </c>
      <c r="D36" s="54">
        <v>156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-330</v>
      </c>
      <c r="D37" s="575">
        <v>-248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-85</v>
      </c>
      <c r="D38" s="575">
        <v>-34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-41</v>
      </c>
      <c r="D39" s="575">
        <v>-30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-9</v>
      </c>
      <c r="D41" s="575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-275</v>
      </c>
      <c r="D42" s="55">
        <f>SUM(D34:D41)</f>
        <v>-156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-115</v>
      </c>
      <c r="D43" s="55">
        <f>D42+D32+D20</f>
        <v>-188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192</v>
      </c>
      <c r="D44" s="132">
        <v>320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77</v>
      </c>
      <c r="D45" s="55">
        <f>D44+D43</f>
        <v>132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77</v>
      </c>
      <c r="D46" s="56">
        <v>132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view="pageBreakPreview" zoomScale="60" zoomScalePageLayoutView="0" workbookViewId="0" topLeftCell="A1">
      <selection activeCell="I33" sqref="I33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9" t="str">
        <f>'справка №1-БАЛАНС'!E3</f>
        <v> "Торготерм"АД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9" t="str">
        <f>'справка №1-БАЛАНС'!E4</f>
        <v>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3" t="str">
        <f>'справка №1-БАЛАНС'!E5</f>
        <v>01.01.2016-30.06.2016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1345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1334</v>
      </c>
      <c r="J11" s="58">
        <f>'справка №1-БАЛАНС'!H29+'справка №1-БАЛАНС'!H32</f>
        <v>-441</v>
      </c>
      <c r="K11" s="60"/>
      <c r="L11" s="344">
        <f>SUM(C11:K11)</f>
        <v>5538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1345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1334</v>
      </c>
      <c r="J15" s="61">
        <f t="shared" si="2"/>
        <v>-441</v>
      </c>
      <c r="K15" s="61">
        <f t="shared" si="2"/>
        <v>0</v>
      </c>
      <c r="L15" s="344">
        <f t="shared" si="1"/>
        <v>5538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-209</v>
      </c>
      <c r="K16" s="60"/>
      <c r="L16" s="344">
        <f t="shared" si="1"/>
        <v>-209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</v>
      </c>
      <c r="F28" s="60"/>
      <c r="G28" s="60"/>
      <c r="H28" s="60"/>
      <c r="I28" s="60">
        <v>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1343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1336</v>
      </c>
      <c r="J29" s="59">
        <f t="shared" si="6"/>
        <v>-650</v>
      </c>
      <c r="K29" s="59">
        <f t="shared" si="6"/>
        <v>0</v>
      </c>
      <c r="L29" s="344">
        <f t="shared" si="1"/>
        <v>5329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1343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1336</v>
      </c>
      <c r="J32" s="59">
        <f t="shared" si="7"/>
        <v>-650</v>
      </c>
      <c r="K32" s="59">
        <f t="shared" si="7"/>
        <v>0</v>
      </c>
      <c r="L32" s="344">
        <f t="shared" si="1"/>
        <v>5329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6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608" t="s">
        <v>521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9">
      <selection activeCell="I15" sqref="I1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383</v>
      </c>
      <c r="B2" s="615"/>
      <c r="C2" s="616" t="str">
        <f>'справка №1-БАЛАНС'!E3</f>
        <v> "Торготерм"АД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3.5">
      <c r="A3" s="614" t="s">
        <v>5</v>
      </c>
      <c r="B3" s="615"/>
      <c r="C3" s="617" t="str">
        <f>'справка №1-БАЛАНС'!E5</f>
        <v>01.01.2016-30.06.2016</v>
      </c>
      <c r="D3" s="617"/>
      <c r="E3" s="617"/>
      <c r="F3" s="485"/>
      <c r="G3" s="485"/>
      <c r="H3" s="485"/>
      <c r="I3" s="485"/>
      <c r="J3" s="485"/>
      <c r="K3" s="485"/>
      <c r="L3" s="485"/>
      <c r="M3" s="622" t="s">
        <v>4</v>
      </c>
      <c r="N3" s="62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23" t="s">
        <v>463</v>
      </c>
      <c r="B5" s="624"/>
      <c r="C5" s="62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2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20" t="s">
        <v>529</v>
      </c>
      <c r="R5" s="620" t="s">
        <v>530</v>
      </c>
    </row>
    <row r="6" spans="1:18" s="100" customFormat="1" ht="45">
      <c r="A6" s="625"/>
      <c r="B6" s="626"/>
      <c r="C6" s="62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2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21"/>
      <c r="R6" s="621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35</v>
      </c>
      <c r="F10" s="189">
        <v>35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622</v>
      </c>
      <c r="L10" s="65">
        <v>38</v>
      </c>
      <c r="M10" s="65">
        <v>35</v>
      </c>
      <c r="N10" s="74">
        <f aca="true" t="shared" si="4" ref="N10:N39">K10+L10-M10</f>
        <v>625</v>
      </c>
      <c r="O10" s="65"/>
      <c r="P10" s="65"/>
      <c r="Q10" s="74">
        <f t="shared" si="0"/>
        <v>625</v>
      </c>
      <c r="R10" s="74">
        <f t="shared" si="1"/>
        <v>1218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6236+2015+1956</f>
        <v>10207</v>
      </c>
      <c r="E11" s="189">
        <v>88</v>
      </c>
      <c r="F11" s="189">
        <v>38</v>
      </c>
      <c r="G11" s="74">
        <f t="shared" si="2"/>
        <v>10257</v>
      </c>
      <c r="H11" s="65"/>
      <c r="I11" s="65"/>
      <c r="J11" s="74">
        <f t="shared" si="3"/>
        <v>10257</v>
      </c>
      <c r="K11" s="65">
        <v>6449</v>
      </c>
      <c r="L11" s="65">
        <v>391</v>
      </c>
      <c r="M11" s="65">
        <v>39</v>
      </c>
      <c r="N11" s="74">
        <f t="shared" si="4"/>
        <v>6801</v>
      </c>
      <c r="O11" s="65"/>
      <c r="P11" s="65"/>
      <c r="Q11" s="74">
        <f t="shared" si="0"/>
        <v>6801</v>
      </c>
      <c r="R11" s="74">
        <f t="shared" si="1"/>
        <v>3456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388</v>
      </c>
      <c r="E12" s="189"/>
      <c r="F12" s="189"/>
      <c r="G12" s="74">
        <f t="shared" si="2"/>
        <v>388</v>
      </c>
      <c r="H12" s="65"/>
      <c r="I12" s="65"/>
      <c r="J12" s="74">
        <f t="shared" si="3"/>
        <v>388</v>
      </c>
      <c r="K12" s="65">
        <v>273</v>
      </c>
      <c r="L12" s="65">
        <v>10</v>
      </c>
      <c r="M12" s="65"/>
      <c r="N12" s="74">
        <f t="shared" si="4"/>
        <v>283</v>
      </c>
      <c r="O12" s="65"/>
      <c r="P12" s="65"/>
      <c r="Q12" s="74">
        <f t="shared" si="0"/>
        <v>283</v>
      </c>
      <c r="R12" s="74">
        <f t="shared" si="1"/>
        <v>105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223</v>
      </c>
      <c r="E13" s="189">
        <v>24</v>
      </c>
      <c r="F13" s="189"/>
      <c r="G13" s="74">
        <f t="shared" si="2"/>
        <v>247</v>
      </c>
      <c r="H13" s="65"/>
      <c r="I13" s="65"/>
      <c r="J13" s="74">
        <f t="shared" si="3"/>
        <v>247</v>
      </c>
      <c r="K13" s="65">
        <v>171</v>
      </c>
      <c r="L13" s="65">
        <v>10</v>
      </c>
      <c r="M13" s="65"/>
      <c r="N13" s="74">
        <f t="shared" si="4"/>
        <v>181</v>
      </c>
      <c r="O13" s="65"/>
      <c r="P13" s="65"/>
      <c r="Q13" s="74">
        <f t="shared" si="0"/>
        <v>181</v>
      </c>
      <c r="R13" s="74">
        <f t="shared" si="1"/>
        <v>66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177+251+170</f>
        <v>598</v>
      </c>
      <c r="E14" s="189">
        <f>19+23+6</f>
        <v>48</v>
      </c>
      <c r="F14" s="189">
        <v>4</v>
      </c>
      <c r="G14" s="74">
        <f t="shared" si="2"/>
        <v>642</v>
      </c>
      <c r="H14" s="65"/>
      <c r="I14" s="65"/>
      <c r="J14" s="74">
        <f t="shared" si="3"/>
        <v>642</v>
      </c>
      <c r="K14" s="65">
        <f>111+208+146</f>
        <v>465</v>
      </c>
      <c r="L14" s="65">
        <f>13+10+3</f>
        <v>26</v>
      </c>
      <c r="M14" s="65">
        <v>3</v>
      </c>
      <c r="N14" s="74">
        <f t="shared" si="4"/>
        <v>488</v>
      </c>
      <c r="O14" s="65"/>
      <c r="P14" s="65"/>
      <c r="Q14" s="74">
        <f t="shared" si="0"/>
        <v>488</v>
      </c>
      <c r="R14" s="74">
        <f t="shared" si="1"/>
        <v>154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37</v>
      </c>
      <c r="E15" s="457">
        <v>26</v>
      </c>
      <c r="F15" s="457">
        <v>38</v>
      </c>
      <c r="G15" s="74">
        <f t="shared" si="2"/>
        <v>25</v>
      </c>
      <c r="H15" s="458"/>
      <c r="I15" s="458"/>
      <c r="J15" s="74">
        <f t="shared" si="3"/>
        <v>25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13626</v>
      </c>
      <c r="E17" s="194">
        <f>SUM(E9:E16)</f>
        <v>221</v>
      </c>
      <c r="F17" s="194">
        <f>SUM(F9:F16)</f>
        <v>115</v>
      </c>
      <c r="G17" s="74">
        <f t="shared" si="2"/>
        <v>13732</v>
      </c>
      <c r="H17" s="75">
        <f>SUM(H9:H16)</f>
        <v>0</v>
      </c>
      <c r="I17" s="75">
        <f>SUM(I9:I16)</f>
        <v>0</v>
      </c>
      <c r="J17" s="74">
        <f t="shared" si="3"/>
        <v>13732</v>
      </c>
      <c r="K17" s="75">
        <f>SUM(K9:K16)</f>
        <v>7980</v>
      </c>
      <c r="L17" s="75">
        <f>SUM(L9:L16)</f>
        <v>475</v>
      </c>
      <c r="M17" s="75">
        <f>SUM(M9:M16)</f>
        <v>77</v>
      </c>
      <c r="N17" s="74">
        <f t="shared" si="4"/>
        <v>8378</v>
      </c>
      <c r="O17" s="75">
        <f>SUM(O9:O16)</f>
        <v>0</v>
      </c>
      <c r="P17" s="75">
        <f>SUM(P9:P16)</f>
        <v>0</v>
      </c>
      <c r="Q17" s="74">
        <f t="shared" si="5"/>
        <v>8378</v>
      </c>
      <c r="R17" s="74">
        <f t="shared" si="6"/>
        <v>5354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97</v>
      </c>
      <c r="E22" s="189"/>
      <c r="F22" s="189"/>
      <c r="G22" s="74">
        <f t="shared" si="2"/>
        <v>97</v>
      </c>
      <c r="H22" s="65"/>
      <c r="I22" s="65"/>
      <c r="J22" s="74">
        <f t="shared" si="3"/>
        <v>97</v>
      </c>
      <c r="K22" s="65">
        <v>93</v>
      </c>
      <c r="L22" s="65">
        <v>1</v>
      </c>
      <c r="M22" s="65"/>
      <c r="N22" s="74">
        <f t="shared" si="4"/>
        <v>94</v>
      </c>
      <c r="O22" s="65"/>
      <c r="P22" s="65"/>
      <c r="Q22" s="74">
        <f t="shared" si="5"/>
        <v>94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97</v>
      </c>
      <c r="H25" s="66">
        <f t="shared" si="7"/>
        <v>0</v>
      </c>
      <c r="I25" s="66">
        <f t="shared" si="7"/>
        <v>0</v>
      </c>
      <c r="J25" s="67">
        <f t="shared" si="3"/>
        <v>97</v>
      </c>
      <c r="K25" s="66">
        <f t="shared" si="7"/>
        <v>93</v>
      </c>
      <c r="L25" s="66">
        <f t="shared" si="7"/>
        <v>1</v>
      </c>
      <c r="M25" s="66">
        <f t="shared" si="7"/>
        <v>0</v>
      </c>
      <c r="N25" s="67">
        <f t="shared" si="4"/>
        <v>94</v>
      </c>
      <c r="O25" s="66">
        <f t="shared" si="7"/>
        <v>0</v>
      </c>
      <c r="P25" s="66">
        <f t="shared" si="7"/>
        <v>0</v>
      </c>
      <c r="Q25" s="67">
        <f t="shared" si="5"/>
        <v>94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13723</v>
      </c>
      <c r="E40" s="438">
        <f>E17+E18+E19+E25+E38+E39</f>
        <v>221</v>
      </c>
      <c r="F40" s="438">
        <f aca="true" t="shared" si="13" ref="F40:R40">F17+F18+F19+F25+F38+F39</f>
        <v>115</v>
      </c>
      <c r="G40" s="438">
        <f t="shared" si="13"/>
        <v>13829</v>
      </c>
      <c r="H40" s="438">
        <f t="shared" si="13"/>
        <v>0</v>
      </c>
      <c r="I40" s="438">
        <f t="shared" si="13"/>
        <v>0</v>
      </c>
      <c r="J40" s="438">
        <f t="shared" si="13"/>
        <v>13829</v>
      </c>
      <c r="K40" s="438">
        <f t="shared" si="13"/>
        <v>8073</v>
      </c>
      <c r="L40" s="438">
        <f t="shared" si="13"/>
        <v>476</v>
      </c>
      <c r="M40" s="438">
        <f t="shared" si="13"/>
        <v>77</v>
      </c>
      <c r="N40" s="438">
        <f t="shared" si="13"/>
        <v>8472</v>
      </c>
      <c r="O40" s="438">
        <f t="shared" si="13"/>
        <v>0</v>
      </c>
      <c r="P40" s="438">
        <f t="shared" si="13"/>
        <v>0</v>
      </c>
      <c r="Q40" s="438">
        <f t="shared" si="13"/>
        <v>8472</v>
      </c>
      <c r="R40" s="438">
        <f t="shared" si="13"/>
        <v>5357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29"/>
      <c r="L44" s="629"/>
      <c r="M44" s="629"/>
      <c r="N44" s="629"/>
      <c r="O44" s="618" t="s">
        <v>781</v>
      </c>
      <c r="P44" s="619"/>
      <c r="Q44" s="619"/>
      <c r="R44" s="61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20" sqref="C20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'справка №1-БАЛАНС'!E3</f>
        <v> "Торготерм"АД</v>
      </c>
      <c r="C3" s="637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01.01.2016-30.06.2016</v>
      </c>
      <c r="C4" s="63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1295</v>
      </c>
      <c r="D24" s="119">
        <f>SUM(D25:D27)</f>
        <v>1295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1295</v>
      </c>
      <c r="D27" s="108">
        <v>1295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2981</v>
      </c>
      <c r="D28" s="108">
        <v>2981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85</v>
      </c>
      <c r="D29" s="108">
        <v>85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110</v>
      </c>
      <c r="D33" s="105">
        <f>SUM(D34:D37)</f>
        <v>110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110</v>
      </c>
      <c r="D35" s="108">
        <v>110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45</v>
      </c>
      <c r="D38" s="105">
        <f>SUM(D39:D42)</f>
        <v>45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45</v>
      </c>
      <c r="D42" s="108">
        <v>45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4605</v>
      </c>
      <c r="D43" s="104">
        <f>D24+D28+D29+D31+D30+D32+D33+D38</f>
        <v>4605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4605</v>
      </c>
      <c r="D44" s="103">
        <f>D43+D21+D19+D9</f>
        <v>4605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1883</v>
      </c>
      <c r="D56" s="103">
        <f>D57+D59</f>
        <v>0</v>
      </c>
      <c r="E56" s="119">
        <f t="shared" si="1"/>
        <v>1883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1883</v>
      </c>
      <c r="D57" s="108"/>
      <c r="E57" s="119">
        <f t="shared" si="1"/>
        <v>1883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668</v>
      </c>
      <c r="D64" s="108"/>
      <c r="E64" s="119">
        <f t="shared" si="1"/>
        <v>668</v>
      </c>
      <c r="F64" s="110"/>
    </row>
    <row r="65" spans="1:6" ht="12">
      <c r="A65" s="396" t="s">
        <v>709</v>
      </c>
      <c r="B65" s="397" t="s">
        <v>710</v>
      </c>
      <c r="C65" s="109">
        <v>668</v>
      </c>
      <c r="D65" s="109"/>
      <c r="E65" s="119">
        <f t="shared" si="1"/>
        <v>668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2551</v>
      </c>
      <c r="D66" s="103">
        <f>D52+D56+D61+D62+D63+D64</f>
        <v>0</v>
      </c>
      <c r="E66" s="119">
        <f t="shared" si="1"/>
        <v>2551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163</v>
      </c>
      <c r="D68" s="108"/>
      <c r="E68" s="119">
        <f t="shared" si="1"/>
        <v>163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</v>
      </c>
      <c r="D75" s="103">
        <f>D76+D78</f>
        <v>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</v>
      </c>
      <c r="D76" s="108">
        <f>C76</f>
        <v>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159</v>
      </c>
      <c r="D80" s="103">
        <f>SUM(D81:D84)</f>
        <v>159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159</v>
      </c>
      <c r="D83" s="108">
        <v>159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3418</v>
      </c>
      <c r="D85" s="104">
        <f>SUM(D86:D90)+D94</f>
        <v>3418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3198</v>
      </c>
      <c r="D87" s="108">
        <v>3198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</v>
      </c>
      <c r="D88" s="108">
        <v>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135</v>
      </c>
      <c r="D89" s="108">
        <f>C89</f>
        <v>135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27</v>
      </c>
      <c r="D90" s="103">
        <f>SUM(D91:D93)</f>
        <v>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27</v>
      </c>
      <c r="D93" s="108">
        <f>C93</f>
        <v>27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57</v>
      </c>
      <c r="D94" s="108">
        <f>C94</f>
        <v>57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23</v>
      </c>
      <c r="D95" s="108">
        <f>C95</f>
        <v>23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3604</v>
      </c>
      <c r="D96" s="104">
        <f>D85+D80+D75+D71+D95</f>
        <v>3604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6318</v>
      </c>
      <c r="D97" s="104">
        <f>D96+D68+D66</f>
        <v>3604</v>
      </c>
      <c r="E97" s="104">
        <f>E96+E68+E66</f>
        <v>2714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880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C17" sqref="C17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'[2]справка №1-БАЛАНС'!E3</f>
        <v> "Торготерм"АД</v>
      </c>
      <c r="C3" s="637"/>
      <c r="D3" s="526" t="s">
        <v>2</v>
      </c>
      <c r="E3" s="107">
        <f>'[2]справка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01.01.2016-30.06.2016</v>
      </c>
      <c r="C4" s="635"/>
      <c r="D4" s="527" t="s">
        <v>4</v>
      </c>
      <c r="E4" s="107" t="str">
        <f>'[2]справка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867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2024</v>
      </c>
      <c r="D28" s="108">
        <v>2024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2024</v>
      </c>
      <c r="D43" s="104">
        <f>D24+D28+D29+D31+D30+D32+D33+D38</f>
        <v>2024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2024</v>
      </c>
      <c r="D44" s="103">
        <f>D43+D21+D19+D9</f>
        <v>2024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880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B3:C3"/>
    <mergeCell ref="B4:C4"/>
    <mergeCell ref="A1:E1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D88" sqref="D88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01.01.2016-30.06.2016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869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385</v>
      </c>
      <c r="D28" s="108">
        <v>385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385</v>
      </c>
      <c r="D43" s="104">
        <f>D24+D28+D29+D31+D30+D32+D33+D38</f>
        <v>385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385</v>
      </c>
      <c r="D44" s="103">
        <f>D43+D21+D19+D9</f>
        <v>385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682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11</v>
      </c>
      <c r="D87" s="108">
        <v>11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11</v>
      </c>
      <c r="D96" s="104">
        <f>D85+D80+D75+D71+D95</f>
        <v>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11</v>
      </c>
      <c r="D97" s="104">
        <f>D96+D68+D66</f>
        <v>11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A110" sqref="A110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01.01.2016-30.06.2016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870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871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30</v>
      </c>
      <c r="D85" s="104">
        <f>SUM(D86:D90)+D94</f>
        <v>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30</v>
      </c>
      <c r="D87" s="108">
        <v>30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30</v>
      </c>
      <c r="D96" s="104">
        <f>D85+D80+D75+D71+D95</f>
        <v>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30</v>
      </c>
      <c r="D97" s="104">
        <f>D96+D68+D66</f>
        <v>30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2016-07-27T05:28:27Z</cp:lastPrinted>
  <dcterms:created xsi:type="dcterms:W3CDTF">2000-06-29T12:02:40Z</dcterms:created>
  <dcterms:modified xsi:type="dcterms:W3CDTF">2016-07-27T05:55:41Z</dcterms:modified>
  <cp:category/>
  <cp:version/>
  <cp:contentType/>
  <cp:contentStatus/>
</cp:coreProperties>
</file>