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85" windowWidth="10800" windowHeight="381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<sst xmlns="http://schemas.openxmlformats.org/spreadsheetml/2006/main" count="1079" uniqueCount="886">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</sst>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1" fontId="10" fillId="0" borderId="0" xfId="62" applyNumberFormat="1" applyFont="1" applyFill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8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441</v>
      </c>
      <c r="D11" s="151">
        <f>441</f>
        <v>441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326</v>
      </c>
      <c r="D12" s="151">
        <f>348</f>
        <v>348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14594</v>
      </c>
      <c r="D13" s="151">
        <f>15521</f>
        <v>15521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1729</v>
      </c>
      <c r="D14" s="151">
        <f>1845</f>
        <v>1845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201</v>
      </c>
      <c r="D15" s="151">
        <f>53</f>
        <v>53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f>2</f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f>70</f>
        <v>70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17479</v>
      </c>
      <c r="D19" s="155">
        <f>SUM(D11:D18)</f>
        <v>18280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1750</v>
      </c>
      <c r="D20" s="151">
        <f>1830</f>
        <v>1830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24471</v>
      </c>
      <c r="H21" s="156">
        <f>SUM(H22:H24)</f>
        <v>23535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24471</v>
      </c>
      <c r="H22" s="152">
        <f>23535</f>
        <v>23535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</v>
      </c>
      <c r="D24" s="151">
        <f>10</f>
        <v>10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24471</v>
      </c>
      <c r="H25" s="154">
        <f>H19+H20+H21</f>
        <v>23535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103</v>
      </c>
      <c r="D26" s="151">
        <f>160</f>
        <v>160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107</v>
      </c>
      <c r="D27" s="155">
        <f>SUM(D23:D26)</f>
        <v>170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f>936</f>
        <v>936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-803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317</v>
      </c>
      <c r="H33" s="154">
        <f>H27+H31+H32</f>
        <v>2056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56543</v>
      </c>
      <c r="H36" s="154">
        <f>H25+H17+H33</f>
        <v>57346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5530</v>
      </c>
      <c r="D44" s="151">
        <f>5151</f>
        <v>5151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38714</v>
      </c>
      <c r="D45" s="155">
        <f>D34+D39+D44</f>
        <v>38335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577</v>
      </c>
      <c r="H46" s="152">
        <f>543</f>
        <v>543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577</v>
      </c>
      <c r="H49" s="154">
        <f>SUM(H43:H48)</f>
        <v>543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1479</v>
      </c>
      <c r="H53" s="152">
        <f>1572</f>
        <v>1572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58050</v>
      </c>
      <c r="D55" s="155">
        <f>D19+D20+D21+D27+D32+D45+D51+D53+D54</f>
        <v>58615</v>
      </c>
      <c r="E55" s="237" t="s">
        <v>171</v>
      </c>
      <c r="F55" s="261" t="s">
        <v>172</v>
      </c>
      <c r="G55" s="154">
        <f>G49+G51+G52+G53+G54</f>
        <v>2056</v>
      </c>
      <c r="H55" s="154">
        <f>H49+H51+H52+H53+H54</f>
        <v>2115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</v>
      </c>
      <c r="D58" s="151">
        <f>2</f>
        <v>2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367</v>
      </c>
      <c r="H61" s="154">
        <f>SUM(H62:H68)</f>
        <v>654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f>59</f>
        <v>59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</v>
      </c>
      <c r="D64" s="155">
        <f>SUM(D58:D63)</f>
        <v>2</v>
      </c>
      <c r="E64" s="237" t="s">
        <v>199</v>
      </c>
      <c r="F64" s="242" t="s">
        <v>200</v>
      </c>
      <c r="G64" s="152">
        <v>241</v>
      </c>
      <c r="H64" s="152">
        <f>233</f>
        <v>233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15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31</v>
      </c>
      <c r="H66" s="152">
        <f>26</f>
        <v>26</v>
      </c>
    </row>
    <row r="67" spans="1:8" ht="15">
      <c r="A67" s="235" t="s">
        <v>206</v>
      </c>
      <c r="B67" s="241" t="s">
        <v>207</v>
      </c>
      <c r="C67" s="151">
        <v>477</v>
      </c>
      <c r="D67" s="151">
        <f>704</f>
        <v>704</v>
      </c>
      <c r="E67" s="237" t="s">
        <v>208</v>
      </c>
      <c r="F67" s="242" t="s">
        <v>209</v>
      </c>
      <c r="G67" s="152">
        <v>8</v>
      </c>
      <c r="H67" s="152">
        <f>5</f>
        <v>5</v>
      </c>
    </row>
    <row r="68" spans="1:8" ht="15">
      <c r="A68" s="235" t="s">
        <v>210</v>
      </c>
      <c r="B68" s="241" t="s">
        <v>211</v>
      </c>
      <c r="C68" s="151">
        <v>209</v>
      </c>
      <c r="D68" s="151">
        <f>259</f>
        <v>259</v>
      </c>
      <c r="E68" s="237" t="s">
        <v>212</v>
      </c>
      <c r="F68" s="242" t="s">
        <v>213</v>
      </c>
      <c r="G68" s="152">
        <v>72</v>
      </c>
      <c r="H68" s="152">
        <f>318</f>
        <v>318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159</v>
      </c>
      <c r="H69" s="152">
        <f>161</f>
        <v>161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526</v>
      </c>
      <c r="H71" s="161">
        <f>H59+H60+H61+H69+H70</f>
        <v>815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</v>
      </c>
      <c r="D74" s="151">
        <f>546</f>
        <v>546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744</v>
      </c>
      <c r="D75" s="155">
        <f>SUM(D67:D74)</f>
        <v>1509</v>
      </c>
      <c r="E75" s="251" t="s">
        <v>159</v>
      </c>
      <c r="F75" s="245" t="s">
        <v>233</v>
      </c>
      <c r="G75" s="152"/>
      <c r="H75" s="152">
        <f>5</f>
        <v>5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526</v>
      </c>
      <c r="H79" s="162">
        <f>H71+H74+H75+H76</f>
        <v>820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319</v>
      </c>
      <c r="D88" s="151">
        <f>154</f>
        <v>154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320</v>
      </c>
      <c r="D91" s="155">
        <f>SUM(D87:D90)</f>
        <v>155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7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1075</v>
      </c>
      <c r="D93" s="155">
        <f>D64+D75+D84+D91+D92</f>
        <v>1666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59125</v>
      </c>
      <c r="D94" s="164">
        <f>D93+D55</f>
        <v>60281</v>
      </c>
      <c r="E94" s="449" t="s">
        <v>269</v>
      </c>
      <c r="F94" s="289" t="s">
        <v>270</v>
      </c>
      <c r="G94" s="165">
        <f>G36+G39+G55+G79</f>
        <v>59125</v>
      </c>
      <c r="H94" s="165">
        <f>H36+H39+H55+H79</f>
        <v>60281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41723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D56" sqref="D5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31.12.2013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70</v>
      </c>
      <c r="D9" s="46">
        <v>65</v>
      </c>
      <c r="E9" s="298" t="s">
        <v>283</v>
      </c>
      <c r="F9" s="549" t="s">
        <v>284</v>
      </c>
      <c r="G9" s="550"/>
      <c r="H9" s="550">
        <v>2</v>
      </c>
    </row>
    <row r="10" spans="1:8" ht="12">
      <c r="A10" s="298" t="s">
        <v>285</v>
      </c>
      <c r="B10" s="299" t="s">
        <v>286</v>
      </c>
      <c r="C10" s="46">
        <v>402</v>
      </c>
      <c r="D10" s="46">
        <v>391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1201</v>
      </c>
      <c r="D11" s="46">
        <v>1224</v>
      </c>
      <c r="E11" s="300" t="s">
        <v>291</v>
      </c>
      <c r="F11" s="549" t="s">
        <v>292</v>
      </c>
      <c r="G11" s="550">
        <v>1041</v>
      </c>
      <c r="H11" s="550">
        <v>1048</v>
      </c>
    </row>
    <row r="12" spans="1:8" ht="12">
      <c r="A12" s="298" t="s">
        <v>293</v>
      </c>
      <c r="B12" s="299" t="s">
        <v>294</v>
      </c>
      <c r="C12" s="46">
        <v>301</v>
      </c>
      <c r="D12" s="46">
        <v>271</v>
      </c>
      <c r="E12" s="300" t="s">
        <v>77</v>
      </c>
      <c r="F12" s="549" t="s">
        <v>295</v>
      </c>
      <c r="G12" s="550">
        <v>127</v>
      </c>
      <c r="H12" s="550">
        <v>2294</v>
      </c>
    </row>
    <row r="13" spans="1:18" ht="12">
      <c r="A13" s="298" t="s">
        <v>296</v>
      </c>
      <c r="B13" s="299" t="s">
        <v>297</v>
      </c>
      <c r="C13" s="46">
        <v>43</v>
      </c>
      <c r="D13" s="46">
        <v>39</v>
      </c>
      <c r="E13" s="301" t="s">
        <v>50</v>
      </c>
      <c r="F13" s="551" t="s">
        <v>298</v>
      </c>
      <c r="G13" s="548">
        <f>SUM(G9:G12)</f>
        <v>1168</v>
      </c>
      <c r="H13" s="548">
        <f>SUM(H9:H12)</f>
        <v>3344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349</v>
      </c>
      <c r="D16" s="47">
        <v>527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>
        <v>277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2</v>
      </c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2366</v>
      </c>
      <c r="D19" s="49">
        <f>SUM(D9:D15)+D16</f>
        <v>2517</v>
      </c>
      <c r="E19" s="304" t="s">
        <v>315</v>
      </c>
      <c r="F19" s="552" t="s">
        <v>316</v>
      </c>
      <c r="G19" s="550">
        <v>371</v>
      </c>
      <c r="H19" s="550">
        <v>254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35</v>
      </c>
      <c r="D22" s="46">
        <v>33</v>
      </c>
      <c r="E22" s="304" t="s">
        <v>324</v>
      </c>
      <c r="F22" s="552" t="s">
        <v>325</v>
      </c>
      <c r="G22" s="550">
        <v>57</v>
      </c>
      <c r="H22" s="550">
        <v>63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v>72</v>
      </c>
      <c r="D24" s="46">
        <v>58</v>
      </c>
      <c r="E24" s="301" t="s">
        <v>102</v>
      </c>
      <c r="F24" s="554" t="s">
        <v>332</v>
      </c>
      <c r="G24" s="548">
        <f>SUM(G19:G23)</f>
        <v>429</v>
      </c>
      <c r="H24" s="548">
        <f>SUM(H19:H23)</f>
        <v>318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>
        <v>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107</v>
      </c>
      <c r="D26" s="49">
        <f>SUM(D22:D25)</f>
        <v>100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2473</v>
      </c>
      <c r="D28" s="50">
        <f>D26+D19</f>
        <v>2617</v>
      </c>
      <c r="E28" s="127" t="s">
        <v>337</v>
      </c>
      <c r="F28" s="554" t="s">
        <v>338</v>
      </c>
      <c r="G28" s="548">
        <f>G13+G15+G24</f>
        <v>1597</v>
      </c>
      <c r="H28" s="548">
        <f>H13+H15+H24</f>
        <v>3662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1045</v>
      </c>
      <c r="E30" s="127" t="s">
        <v>341</v>
      </c>
      <c r="F30" s="554" t="s">
        <v>342</v>
      </c>
      <c r="G30" s="53">
        <f>IF((C28-G28)&gt;0,C28-G28,0)</f>
        <v>876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2473</v>
      </c>
      <c r="D33" s="49">
        <f>D28-D31+D32</f>
        <v>2617</v>
      </c>
      <c r="E33" s="127" t="s">
        <v>351</v>
      </c>
      <c r="F33" s="554" t="s">
        <v>352</v>
      </c>
      <c r="G33" s="53">
        <f>G32-G31+G28</f>
        <v>1597</v>
      </c>
      <c r="H33" s="53">
        <f>H32-H31+H28</f>
        <v>3662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1045</v>
      </c>
      <c r="E34" s="128" t="s">
        <v>355</v>
      </c>
      <c r="F34" s="554" t="s">
        <v>356</v>
      </c>
      <c r="G34" s="548">
        <f>IF((C33-G33)&gt;0,C33-G33,0)</f>
        <v>876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-73</v>
      </c>
      <c r="D35" s="49">
        <f>D36+D37+D38</f>
        <v>109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20</v>
      </c>
      <c r="D36" s="46">
        <v>226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-93</v>
      </c>
      <c r="D37" s="430">
        <v>-117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936</v>
      </c>
      <c r="E39" s="313" t="s">
        <v>367</v>
      </c>
      <c r="F39" s="558" t="s">
        <v>368</v>
      </c>
      <c r="G39" s="559">
        <f>IF(G34&gt;0,IF(C35+G34&lt;0,0,C35+G34),IF(C34-C35&lt;0,C35-C34,0))</f>
        <v>803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936</v>
      </c>
      <c r="E41" s="127" t="s">
        <v>374</v>
      </c>
      <c r="F41" s="571" t="s">
        <v>375</v>
      </c>
      <c r="G41" s="52">
        <f>IF(C39=0,IF(G39-G40&gt;0,G39-G40+C40,0),IF(C39-C40&lt;0,C40-C39+G40,0))</f>
        <v>803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2400</v>
      </c>
      <c r="D42" s="53">
        <f>D33+D35+D39</f>
        <v>3662</v>
      </c>
      <c r="E42" s="128" t="s">
        <v>378</v>
      </c>
      <c r="F42" s="129" t="s">
        <v>379</v>
      </c>
      <c r="G42" s="53">
        <f>G39+G33</f>
        <v>2400</v>
      </c>
      <c r="H42" s="53">
        <f>H39+H33</f>
        <v>3662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41723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4">
      <selection activeCell="D31" sqref="D3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3486</v>
      </c>
      <c r="D10" s="54">
        <v>80013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-2783</v>
      </c>
      <c r="D11" s="54">
        <v>-79376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-344</v>
      </c>
      <c r="D13" s="54">
        <v>-296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-216</v>
      </c>
      <c r="D15" s="54">
        <v>-216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44</v>
      </c>
      <c r="D16" s="54">
        <v>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-5</v>
      </c>
      <c r="D18" s="54">
        <v>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-149</v>
      </c>
      <c r="D19" s="54">
        <v>-246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33</v>
      </c>
      <c r="D20" s="55">
        <f>SUM(D10:D19)</f>
        <v>-100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-354</v>
      </c>
      <c r="D22" s="54">
        <v>-16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87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>
        <v>-1665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>
        <v>40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f>537-51</f>
        <v>486</v>
      </c>
      <c r="D31" s="54">
        <v>1244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132</v>
      </c>
      <c r="D32" s="55">
        <f>SUM(D22:D31)</f>
        <v>-310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165</v>
      </c>
      <c r="D43" s="55">
        <f>D42+D32+D20</f>
        <v>-410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f>155</f>
        <v>155</v>
      </c>
      <c r="D44" s="132">
        <f>565</f>
        <v>565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320</v>
      </c>
      <c r="D45" s="55">
        <f>D44+D43</f>
        <v>155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320</v>
      </c>
      <c r="D46" s="56">
        <v>155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41723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J19" sqref="J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31.12.2013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23535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2056</v>
      </c>
      <c r="J11" s="58">
        <f>'справка №1-БАЛАНС'!H29+'справка №1-БАЛАНС'!H32</f>
        <v>0</v>
      </c>
      <c r="K11" s="60"/>
      <c r="L11" s="344">
        <f>SUM(C11:K11)</f>
        <v>57346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23535</v>
      </c>
      <c r="G15" s="61">
        <f t="shared" si="2"/>
        <v>0</v>
      </c>
      <c r="H15" s="61">
        <f t="shared" si="2"/>
        <v>0</v>
      </c>
      <c r="I15" s="61">
        <f t="shared" si="2"/>
        <v>2056</v>
      </c>
      <c r="J15" s="61">
        <f t="shared" si="2"/>
        <v>0</v>
      </c>
      <c r="K15" s="61">
        <f t="shared" si="2"/>
        <v>0</v>
      </c>
      <c r="L15" s="344">
        <f t="shared" si="1"/>
        <v>57346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-803</v>
      </c>
      <c r="K16" s="60"/>
      <c r="L16" s="344">
        <f t="shared" si="1"/>
        <v>-803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936</v>
      </c>
      <c r="G17" s="62">
        <f t="shared" si="3"/>
        <v>0</v>
      </c>
      <c r="H17" s="62">
        <f t="shared" si="3"/>
        <v>0</v>
      </c>
      <c r="I17" s="62">
        <f t="shared" si="3"/>
        <v>-936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936</v>
      </c>
      <c r="G19" s="60"/>
      <c r="H19" s="60"/>
      <c r="I19" s="60">
        <v>-936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24471</v>
      </c>
      <c r="G29" s="59">
        <f t="shared" si="6"/>
        <v>0</v>
      </c>
      <c r="H29" s="59">
        <f t="shared" si="6"/>
        <v>0</v>
      </c>
      <c r="I29" s="59">
        <f t="shared" si="6"/>
        <v>1120</v>
      </c>
      <c r="J29" s="59">
        <f t="shared" si="6"/>
        <v>-803</v>
      </c>
      <c r="K29" s="59">
        <f t="shared" si="6"/>
        <v>0</v>
      </c>
      <c r="L29" s="344">
        <f t="shared" si="1"/>
        <v>56543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24471</v>
      </c>
      <c r="G32" s="59">
        <f t="shared" si="7"/>
        <v>0</v>
      </c>
      <c r="H32" s="59">
        <f t="shared" si="7"/>
        <v>0</v>
      </c>
      <c r="I32" s="59">
        <f t="shared" si="7"/>
        <v>1120</v>
      </c>
      <c r="J32" s="59">
        <f t="shared" si="7"/>
        <v>-803</v>
      </c>
      <c r="K32" s="59">
        <f t="shared" si="7"/>
        <v>0</v>
      </c>
      <c r="L32" s="344">
        <f t="shared" si="1"/>
        <v>56543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41723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2">
      <selection activeCell="E37" sqref="E3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31.12.2013</v>
      </c>
      <c r="D3" s="617"/>
      <c r="E3" s="617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f>441</f>
        <v>441</v>
      </c>
      <c r="E9" s="189">
        <v>0</v>
      </c>
      <c r="F9" s="189">
        <v>0</v>
      </c>
      <c r="G9" s="74">
        <f>D9+E9-F9</f>
        <v>441</v>
      </c>
      <c r="H9" s="65"/>
      <c r="I9" s="65"/>
      <c r="J9" s="74">
        <f>G9+H9-I9</f>
        <v>441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f>377</f>
        <v>377</v>
      </c>
      <c r="L10" s="65">
        <v>22</v>
      </c>
      <c r="M10" s="65">
        <v>0</v>
      </c>
      <c r="N10" s="74">
        <f aca="true" t="shared" si="4" ref="N10:N39">K10+L10-M10</f>
        <v>399</v>
      </c>
      <c r="O10" s="65"/>
      <c r="P10" s="65"/>
      <c r="Q10" s="74">
        <f t="shared" si="0"/>
        <v>399</v>
      </c>
      <c r="R10" s="74">
        <f t="shared" si="1"/>
        <v>326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f>24863</f>
        <v>24863</v>
      </c>
      <c r="E11" s="189">
        <v>16</v>
      </c>
      <c r="F11" s="189">
        <v>47</v>
      </c>
      <c r="G11" s="74">
        <f t="shared" si="2"/>
        <v>24832</v>
      </c>
      <c r="H11" s="65"/>
      <c r="I11" s="65"/>
      <c r="J11" s="74">
        <f t="shared" si="3"/>
        <v>24832</v>
      </c>
      <c r="K11" s="65">
        <f>9342</f>
        <v>9342</v>
      </c>
      <c r="L11" s="65">
        <v>941</v>
      </c>
      <c r="M11" s="65">
        <v>45</v>
      </c>
      <c r="N11" s="74">
        <f t="shared" si="4"/>
        <v>10238</v>
      </c>
      <c r="O11" s="65"/>
      <c r="P11" s="65"/>
      <c r="Q11" s="74">
        <f t="shared" si="0"/>
        <v>10238</v>
      </c>
      <c r="R11" s="74">
        <f t="shared" si="1"/>
        <v>14594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f>2033</f>
        <v>2033</v>
      </c>
      <c r="L12" s="65">
        <v>116</v>
      </c>
      <c r="M12" s="65">
        <v>0</v>
      </c>
      <c r="N12" s="74">
        <f t="shared" si="4"/>
        <v>2149</v>
      </c>
      <c r="O12" s="65"/>
      <c r="P12" s="65"/>
      <c r="Q12" s="74">
        <f t="shared" si="0"/>
        <v>2149</v>
      </c>
      <c r="R12" s="74">
        <f t="shared" si="1"/>
        <v>1729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f>615</f>
        <v>615</v>
      </c>
      <c r="E13" s="189">
        <v>183</v>
      </c>
      <c r="F13" s="189">
        <v>0</v>
      </c>
      <c r="G13" s="74">
        <f t="shared" si="2"/>
        <v>798</v>
      </c>
      <c r="H13" s="65"/>
      <c r="I13" s="65"/>
      <c r="J13" s="74">
        <f t="shared" si="3"/>
        <v>798</v>
      </c>
      <c r="K13" s="65">
        <f>562</f>
        <v>562</v>
      </c>
      <c r="L13" s="65">
        <v>35</v>
      </c>
      <c r="M13" s="65">
        <v>0</v>
      </c>
      <c r="N13" s="74">
        <f t="shared" si="4"/>
        <v>597</v>
      </c>
      <c r="O13" s="65"/>
      <c r="P13" s="65"/>
      <c r="Q13" s="74">
        <f t="shared" si="0"/>
        <v>597</v>
      </c>
      <c r="R13" s="74">
        <f t="shared" si="1"/>
        <v>201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f>160</f>
        <v>160</v>
      </c>
      <c r="E14" s="189">
        <v>0</v>
      </c>
      <c r="F14" s="189">
        <v>54</v>
      </c>
      <c r="G14" s="74">
        <f t="shared" si="2"/>
        <v>106</v>
      </c>
      <c r="H14" s="65"/>
      <c r="I14" s="65"/>
      <c r="J14" s="74">
        <f t="shared" si="3"/>
        <v>106</v>
      </c>
      <c r="K14" s="65">
        <f>158</f>
        <v>158</v>
      </c>
      <c r="L14" s="65"/>
      <c r="M14" s="65">
        <v>54</v>
      </c>
      <c r="N14" s="74">
        <f t="shared" si="4"/>
        <v>104</v>
      </c>
      <c r="O14" s="65"/>
      <c r="P14" s="65"/>
      <c r="Q14" s="74">
        <f t="shared" si="0"/>
        <v>104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70</f>
        <v>70</v>
      </c>
      <c r="E15" s="457">
        <v>205</v>
      </c>
      <c r="F15" s="457">
        <v>89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30752</v>
      </c>
      <c r="E17" s="194">
        <f>SUM(E9:E16)</f>
        <v>404</v>
      </c>
      <c r="F17" s="194">
        <f>SUM(F9:F16)</f>
        <v>190</v>
      </c>
      <c r="G17" s="74">
        <f t="shared" si="2"/>
        <v>30966</v>
      </c>
      <c r="H17" s="75">
        <f>SUM(H9:H16)</f>
        <v>0</v>
      </c>
      <c r="I17" s="75">
        <f>SUM(I9:I16)</f>
        <v>0</v>
      </c>
      <c r="J17" s="74">
        <f t="shared" si="3"/>
        <v>30966</v>
      </c>
      <c r="K17" s="75">
        <f>SUM(K9:K16)</f>
        <v>12472</v>
      </c>
      <c r="L17" s="75">
        <f>SUM(L9:L16)</f>
        <v>1114</v>
      </c>
      <c r="M17" s="75">
        <f>SUM(M9:M16)</f>
        <v>99</v>
      </c>
      <c r="N17" s="74">
        <f t="shared" si="4"/>
        <v>13487</v>
      </c>
      <c r="O17" s="75">
        <f>SUM(O9:O16)</f>
        <v>0</v>
      </c>
      <c r="P17" s="75">
        <f>SUM(P9:P16)</f>
        <v>0</v>
      </c>
      <c r="Q17" s="74">
        <f t="shared" si="5"/>
        <v>13487</v>
      </c>
      <c r="R17" s="74">
        <f t="shared" si="6"/>
        <v>17479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f>877</f>
        <v>877</v>
      </c>
      <c r="L18" s="63">
        <v>80</v>
      </c>
      <c r="M18" s="63">
        <v>0</v>
      </c>
      <c r="N18" s="74">
        <f t="shared" si="4"/>
        <v>957</v>
      </c>
      <c r="O18" s="63"/>
      <c r="P18" s="63"/>
      <c r="Q18" s="74">
        <f t="shared" si="5"/>
        <v>957</v>
      </c>
      <c r="R18" s="74">
        <f t="shared" si="6"/>
        <v>1750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f>378</f>
        <v>378</v>
      </c>
      <c r="E22" s="189">
        <v>0</v>
      </c>
      <c r="F22" s="189">
        <v>16</v>
      </c>
      <c r="G22" s="74">
        <f t="shared" si="2"/>
        <v>362</v>
      </c>
      <c r="H22" s="65"/>
      <c r="I22" s="65"/>
      <c r="J22" s="74">
        <f t="shared" si="3"/>
        <v>362</v>
      </c>
      <c r="K22" s="65">
        <f>368</f>
        <v>368</v>
      </c>
      <c r="L22" s="65">
        <v>6</v>
      </c>
      <c r="M22" s="65">
        <v>16</v>
      </c>
      <c r="N22" s="74">
        <f t="shared" si="4"/>
        <v>358</v>
      </c>
      <c r="O22" s="65"/>
      <c r="P22" s="65"/>
      <c r="Q22" s="74">
        <f t="shared" si="5"/>
        <v>358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f>178</f>
        <v>178</v>
      </c>
      <c r="E24" s="189">
        <v>0</v>
      </c>
      <c r="F24" s="189">
        <v>56</v>
      </c>
      <c r="G24" s="74">
        <f t="shared" si="2"/>
        <v>122</v>
      </c>
      <c r="H24" s="65"/>
      <c r="I24" s="65"/>
      <c r="J24" s="74">
        <f t="shared" si="3"/>
        <v>122</v>
      </c>
      <c r="K24" s="65">
        <v>18</v>
      </c>
      <c r="L24" s="65">
        <v>1</v>
      </c>
      <c r="M24" s="65"/>
      <c r="N24" s="74">
        <f t="shared" si="4"/>
        <v>19</v>
      </c>
      <c r="O24" s="65"/>
      <c r="P24" s="65"/>
      <c r="Q24" s="74">
        <f t="shared" si="5"/>
        <v>19</v>
      </c>
      <c r="R24" s="74">
        <f t="shared" si="6"/>
        <v>103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729</v>
      </c>
      <c r="E25" s="190">
        <f aca="true" t="shared" si="7" ref="E25:P25">SUM(E21:E24)</f>
        <v>0</v>
      </c>
      <c r="F25" s="190">
        <f t="shared" si="7"/>
        <v>72</v>
      </c>
      <c r="G25" s="67">
        <f t="shared" si="2"/>
        <v>657</v>
      </c>
      <c r="H25" s="66">
        <f t="shared" si="7"/>
        <v>0</v>
      </c>
      <c r="I25" s="66">
        <f t="shared" si="7"/>
        <v>0</v>
      </c>
      <c r="J25" s="67">
        <f t="shared" si="3"/>
        <v>657</v>
      </c>
      <c r="K25" s="66">
        <f t="shared" si="7"/>
        <v>559</v>
      </c>
      <c r="L25" s="66">
        <f t="shared" si="7"/>
        <v>7</v>
      </c>
      <c r="M25" s="66">
        <f t="shared" si="7"/>
        <v>16</v>
      </c>
      <c r="N25" s="67">
        <f t="shared" si="4"/>
        <v>550</v>
      </c>
      <c r="O25" s="66">
        <f t="shared" si="7"/>
        <v>0</v>
      </c>
      <c r="P25" s="66">
        <f t="shared" si="7"/>
        <v>0</v>
      </c>
      <c r="Q25" s="67">
        <f t="shared" si="5"/>
        <v>550</v>
      </c>
      <c r="R25" s="67">
        <f t="shared" si="6"/>
        <v>107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f>5151</f>
        <v>5151</v>
      </c>
      <c r="E37" s="189">
        <v>420</v>
      </c>
      <c r="F37" s="189">
        <v>41</v>
      </c>
      <c r="G37" s="74">
        <f t="shared" si="2"/>
        <v>5530</v>
      </c>
      <c r="H37" s="72"/>
      <c r="I37" s="72"/>
      <c r="J37" s="74">
        <f t="shared" si="3"/>
        <v>5530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5530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38335</v>
      </c>
      <c r="E38" s="194">
        <f aca="true" t="shared" si="12" ref="E38:P38">E27+E32+E37</f>
        <v>420</v>
      </c>
      <c r="F38" s="194">
        <f t="shared" si="12"/>
        <v>41</v>
      </c>
      <c r="G38" s="74">
        <f t="shared" si="2"/>
        <v>38714</v>
      </c>
      <c r="H38" s="75">
        <f t="shared" si="12"/>
        <v>0</v>
      </c>
      <c r="I38" s="75">
        <f t="shared" si="12"/>
        <v>0</v>
      </c>
      <c r="J38" s="74">
        <f t="shared" si="3"/>
        <v>38714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38714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72523</v>
      </c>
      <c r="E40" s="438">
        <f>E17+E18+E19+E25+E38+E39</f>
        <v>824</v>
      </c>
      <c r="F40" s="438">
        <f aca="true" t="shared" si="13" ref="F40:R40">F17+F18+F19+F25+F38+F39</f>
        <v>303</v>
      </c>
      <c r="G40" s="438">
        <f t="shared" si="13"/>
        <v>73044</v>
      </c>
      <c r="H40" s="438">
        <f t="shared" si="13"/>
        <v>0</v>
      </c>
      <c r="I40" s="438">
        <f t="shared" si="13"/>
        <v>0</v>
      </c>
      <c r="J40" s="438">
        <f t="shared" si="13"/>
        <v>73044</v>
      </c>
      <c r="K40" s="438">
        <f t="shared" si="13"/>
        <v>13908</v>
      </c>
      <c r="L40" s="438">
        <f t="shared" si="13"/>
        <v>1201</v>
      </c>
      <c r="M40" s="438">
        <f t="shared" si="13"/>
        <v>115</v>
      </c>
      <c r="N40" s="438">
        <f t="shared" si="13"/>
        <v>14994</v>
      </c>
      <c r="O40" s="438">
        <f t="shared" si="13"/>
        <v>0</v>
      </c>
      <c r="P40" s="438">
        <f t="shared" si="13"/>
        <v>0</v>
      </c>
      <c r="Q40" s="438">
        <f t="shared" si="13"/>
        <v>14994</v>
      </c>
      <c r="R40" s="438">
        <f t="shared" si="13"/>
        <v>58050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6"/>
      <c r="L44" s="606"/>
      <c r="M44" s="606"/>
      <c r="N44" s="606"/>
      <c r="O44" s="608" t="s">
        <v>780</v>
      </c>
      <c r="P44" s="609"/>
      <c r="Q44" s="609"/>
      <c r="R44" s="609"/>
    </row>
    <row r="45" spans="1:18" ht="12">
      <c r="A45" s="349"/>
      <c r="B45" s="579">
        <f>'справка №1-БАЛАНС'!A99</f>
        <v>41723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J5:J6"/>
    <mergeCell ref="K44:N44"/>
    <mergeCell ref="M3:N3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6">
      <selection activeCell="C97" sqref="C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31.12.2013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477</v>
      </c>
      <c r="D24" s="119">
        <f>SUM(D25:D27)</f>
        <v>477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477</v>
      </c>
      <c r="D26" s="108">
        <v>477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209</v>
      </c>
      <c r="D28" s="108">
        <v>209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65</v>
      </c>
      <c r="D38" s="105">
        <f>SUM(D39:D42)</f>
        <v>65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65</v>
      </c>
      <c r="D42" s="108">
        <v>65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751</v>
      </c>
      <c r="D43" s="104">
        <f>D24+D28+D29+D31+D30+D32+D33+D38</f>
        <v>751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751</v>
      </c>
      <c r="D44" s="103">
        <f>D43+D21+D19+D9</f>
        <v>751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577</v>
      </c>
      <c r="D62" s="108"/>
      <c r="E62" s="119">
        <f t="shared" si="1"/>
        <v>577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577</v>
      </c>
      <c r="D66" s="103">
        <f>D52+D56+D61+D62+D63+D64</f>
        <v>0</v>
      </c>
      <c r="E66" s="119">
        <f t="shared" si="1"/>
        <v>577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1479</v>
      </c>
      <c r="D68" s="108"/>
      <c r="E68" s="119">
        <f t="shared" si="1"/>
        <v>1479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367</v>
      </c>
      <c r="D85" s="104">
        <f>SUM(D86:D90)+D94</f>
        <v>367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241</v>
      </c>
      <c r="D87" s="108">
        <v>241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15</v>
      </c>
      <c r="D88" s="108">
        <v>15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72</v>
      </c>
      <c r="D90" s="103">
        <f>SUM(D91:D93)</f>
        <v>72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55</v>
      </c>
      <c r="D93" s="108">
        <v>55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526</v>
      </c>
      <c r="D96" s="104">
        <f>D85+D80+D75+D71+D95</f>
        <v>526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2582</v>
      </c>
      <c r="D97" s="104">
        <f>D96+D68+D66</f>
        <v>526</v>
      </c>
      <c r="E97" s="104">
        <f>E96+E68+E66</f>
        <v>2056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41723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31.12.2013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41723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40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31.12.2013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41723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2014-03-24T12:54:28Z</cp:lastPrinted>
  <dcterms:created xsi:type="dcterms:W3CDTF">2000-06-29T12:02:40Z</dcterms:created>
  <dcterms:modified xsi:type="dcterms:W3CDTF">2014-03-27T08:20:38Z</dcterms:modified>
  <cp:category/>
  <cp:version/>
  <cp:contentType/>
  <cp:contentStatus/>
</cp:coreProperties>
</file>