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48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<sst xmlns="http://schemas.openxmlformats.org/spreadsheetml/2006/main" count="1057" uniqueCount="869">
  <si>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</si>
  <si>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</si>
  <si>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</si>
  <si>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</si>
  <si>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</si>
  <si>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</si>
  <si>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</si>
  <si>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</si>
  <si>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</si>
  <si>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</si>
  <si>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</si>
  <si>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</si>
  <si>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</si>
  <si>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</si>
  <si>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</si>
  <si>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</si>
  <si>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</si>
  <si>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</si>
  <si>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</si>
  <si>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</si>
  <si>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</si>
  <si>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</si>
  <si>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</si>
  <si>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</si>
  <si>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</si>
  <si>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</si>
  <si>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</si>
  <si>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</si>
  <si>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</si>
  <si>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</si>
  <si>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</si>
  <si>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</si>
  <si>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</si>
  <si>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</si>
  <si>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</si>
  <si>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</si>
  <si>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</si>
  <si>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</si>
  <si>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</si>
  <si>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</si>
  <si>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</si>
  <si>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</si>
  <si>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</si>
  <si>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</si>
  <si>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</si>
  <si>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</si>
  <si>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</si>
  <si>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</si>
  <si>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</si>
  <si>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</si>
  <si>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</si>
  <si>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</si>
  <si>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</si>
  <si>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</si>
  <si>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</si>
  <si>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</si>
  <si>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</si>
  <si>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</si>
  <si>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</si>
  <si>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</si>
  <si>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</si>
  <si>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</si>
  <si>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</si>
  <si>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</si>
  <si>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</si>
  <si>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</si>
  <si>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</si>
  <si>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</si>
  <si>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</si>
  <si>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</si>
  <si>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</si>
  <si>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</si>
  <si>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</si>
  <si>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</si>
  <si>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</si>
  <si>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</si>
  <si>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</si>
  <si>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</si>
  <si>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</si>
  <si>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</si>
  <si>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</si>
  <si>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</si>
  <si>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</si>
  <si>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</si>
  <si>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</si>
  <si>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</si>
  <si>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</si>
  <si>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</si>
  <si>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</si>
  <si>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</si>
  <si>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</si>
  <si>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</si>
  <si>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</si>
  <si>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</si>
  <si>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</si>
  <si>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</si>
  <si>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</si>
  <si>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</si>
  <si>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</si>
  <si>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</si>
  <si>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</si>
  <si>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</si>
  <si>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</si>
  <si>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</si>
  <si>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</si>
  <si>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</si>
  <si>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</si>
  <si>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</si>
  <si>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</si>
  <si>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</si>
  <si>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</si>
  <si>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</si>
  <si>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</si>
  <si>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</si>
  <si>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</si>
  <si>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</si>
  <si>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</si>
  <si>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</si>
  <si>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</si>
  <si>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</si>
  <si>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</si>
  <si>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</si>
  <si>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</si>
  <si>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</si>
  <si>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</si>
  <si>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</si>
  <si>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</si>
  <si>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</si>
  <si>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</si>
  <si>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</si>
  <si>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</si>
  <si>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</si>
  <si>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</si>
  <si>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</si>
  <si>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</si>
  <si>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</si>
  <si>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</si>
  <si>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</si>
  <si>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</si>
  <si>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</si>
  <si>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</si>
  <si>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</si>
  <si>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</si>
  <si>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</si>
  <si>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</si>
  <si>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</si>
  <si>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</si>
  <si>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</si>
  <si>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</si>
  <si>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</si>
  <si>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</si>
  <si>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</si>
  <si>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</si>
  <si>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</si>
  <si>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</si>
  <si>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</si>
  <si>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</si>
  <si>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</si>
  <si>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</si>
  <si>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</si>
  <si>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</si>
  <si>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</si>
  <si>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</si>
  <si>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</si>
  <si>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</si>
  <si>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</si>
  <si>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</si>
  <si>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</si>
  <si>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</si>
  <si>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</si>
  <si>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</si>
  <si>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</si>
  <si>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</si>
  <si>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</si>
  <si>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</si>
  <si>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</si>
  <si>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</si>
  <si>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</si>
  <si>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</si>
  <si>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</si>
  <si>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</si>
  <si>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</si>
  <si>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</si>
  <si>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</si>
  <si>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</si>
  <si>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</si>
  <si>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</si>
  <si>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</si>
  <si>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</si>
  <si>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</si>
  <si>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</si>
  <si>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</si>
  <si>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</si>
  <si>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</si>
  <si>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</si>
  <si>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</si>
  <si>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</si>
  <si>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</si>
  <si>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</si>
  <si>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</si>
  <si>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</si>
  <si>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</si>
  <si>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</si>
  <si>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</si>
  <si>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</si>
  <si>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</si>
  <si>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</si>
  <si>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</si>
  <si>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</si>
  <si>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</si>
  <si>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</si>
  <si>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</si>
  <si>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</si>
  <si>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</si>
  <si>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</si>
  <si>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</si>
  <si>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</si>
  <si>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</si>
  <si>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</si>
  <si>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</si>
  <si>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</si>
  <si>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</si>
  <si>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</si>
  <si>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</si>
  <si>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</si>
  <si>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</si>
  <si>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</si>
  <si>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</si>
  <si>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</si>
  <si>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</si>
  <si>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</si>
  <si>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</si>
  <si>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</si>
  <si>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</si>
  <si>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</si>
  <si>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</si>
  <si>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</si>
  <si>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</si>
  <si>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</si>
  <si>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</si>
  <si>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</si>
  <si>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</si>
  <si>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</si>
  <si>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</si>
  <si>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</si>
  <si>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</si>
  <si>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</si>
  <si>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</si>
  <si>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</si>
  <si>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</si>
  <si>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</si>
  <si>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</si>
  <si>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</si>
  <si>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</si>
  <si>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</si>
  <si>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</si>
  <si>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</si>
  <si>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</si>
  <si>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</si>
  <si>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</si>
  <si>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</si>
  <si>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</si>
  <si>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</si>
  <si>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</si>
  <si>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</si>
  <si>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</si>
  <si>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</si>
  <si>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</si>
  <si>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</si>
  <si>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</si>
  <si>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</si>
  <si>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</si>
  <si>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</si>
  <si>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</si>
  <si>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</si>
  <si>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</si>
  <si>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</si>
  <si>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</si>
  <si>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</si>
  <si>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</si>
  <si>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</si>
  <si>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</si>
  <si>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</si>
  <si>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</si>
  <si>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</si>
  <si>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</si>
  <si>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</si>
  <si>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</si>
  <si>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</si>
  <si>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</si>
  <si>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</si>
  <si>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</si>
  <si>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</si>
  <si>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</si>
  <si>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</si>
  <si>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</si>
  <si>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</si>
  <si>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</si>
  <si>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</si>
  <si>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</si>
  <si>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</si>
  <si>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</si>
  <si>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</si>
  <si>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</si>
  <si>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</si>
  <si>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</si>
  <si>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</si>
  <si>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</si>
  <si>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</si>
  <si>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</si>
  <si>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</si>
  <si>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</si>
  <si>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</si>
  <si>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</si>
  <si>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</si>
  <si>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</si>
  <si>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</si>
  <si>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</si>
  <si>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</si>
  <si>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</si>
  <si>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</si>
  <si>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</si>
  <si>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</si>
  <si>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</si>
  <si>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</si>
  <si>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</si>
  <si>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</si>
  <si>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</si>
  <si>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</si>
  <si>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</si>
  <si>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</si>
  <si>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</si>
  <si>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</si>
  <si>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</si>
  <si>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</si>
  <si>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</si>
  <si>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</si>
  <si>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</si>
  <si>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</si>
  <si>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</si>
  <si>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</si>
  <si>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</si>
  <si>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</si>
  <si>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</si>
  <si>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</si>
  <si>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</si>
  <si>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</si>
  <si>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</si>
  <si>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</si>
  <si>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</si>
  <si>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</si>
  <si>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</si>
  <si>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</si>
  <si>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</si>
  <si>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</si>
  <si>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</si>
  <si>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</si>
  <si>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</si>
  <si>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</si>
  <si>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</si>
  <si>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</si>
  <si>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</si>
  <si>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</si>
  <si>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</si>
  <si>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</si>
  <si>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</si>
  <si>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</si>
  <si>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</si>
  <si>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</si>
  <si>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</si>
  <si>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</si>
  <si>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</si>
  <si>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</si>
  <si>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</si>
  <si>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</si>
  <si>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</si>
  <si>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</si>
  <si>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</si>
  <si>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</si>
  <si>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</si>
  <si>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</si>
  <si>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</si>
  <si>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</si>
  <si>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</si>
  <si>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</si>
  <si>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</si>
  <si>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</si>
  <si>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</si>
  <si>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</si>
  <si>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</si>
  <si>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</si>
  <si>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</si>
  <si>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</si>
  <si>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</si>
  <si>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</si>
  <si>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</si>
  <si>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</si>
  <si>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</si>
  <si>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</si>
  <si>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</si>
  <si>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</si>
  <si>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</si>
  <si>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</si>
  <si>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</si>
  <si>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</si>
  <si>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</si>
  <si>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</si>
  <si>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</si>
  <si>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</si>
  <si>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</si>
  <si>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</si>
  <si>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</si>
  <si>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</si>
  <si>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</si>
  <si>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</si>
  <si>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</si>
  <si>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</si>
  <si>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</si>
  <si>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</si>
  <si>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</si>
  <si>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</si>
  <si>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</si>
  <si>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</si>
  <si>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</si>
  <si>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</si>
  <si>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</si>
  <si>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</si>
  <si>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</si>
  <si>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</si>
  <si>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</si>
  <si>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</si>
  <si>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</si>
  <si>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</si>
  <si>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</si>
  <si>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</si>
  <si>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</si>
  <si>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</si>
  <si>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</si>
  <si>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</si>
  <si>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</si>
  <si>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</si>
  <si>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</si>
  <si>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</si>
  <si>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</si>
  <si>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</si>
  <si>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</si>
  <si>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</si>
  <si>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</si>
  <si>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</si>
  <si>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</si>
  <si>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</si>
  <si>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</si>
  <si>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</si>
  <si>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</si>
  <si>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</si>
  <si>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</si>
  <si>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</si>
  <si>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</si>
  <si>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</si>
  <si>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</si>
  <si>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</si>
  <si>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</si>
  <si>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</si>
  <si>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</si>
  <si>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</si>
  <si>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</si>
  <si>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</si>
  <si>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</si>
  <si>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</si>
  <si>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</si>
  <si>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</si>
  <si>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</si>
  <si>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</si>
  <si>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</si>
  <si>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</si>
  <si>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</si>
  <si>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</si>
  <si>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</si>
  <si>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</si>
  <si>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</si>
  <si>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</si>
  <si>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</si>
  <si>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</si>
  <si>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</si>
  <si>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</si>
  <si>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</si>
  <si>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</si>
  <si>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</si>
  <si>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</si>
  <si>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</si>
  <si>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</si>
  <si>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</si>
  <si>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</si>
  <si>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</si>
  <si>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</si>
  <si>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</si>
  <si>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</si>
  <si>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</si>
  <si>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</si>
  <si>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</si>
  <si>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</si>
  <si>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</si>
  <si>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</si>
  <si>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</si>
  <si>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</si>
  <si>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</si>
  <si>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</si>
  <si>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</si>
  <si>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</si>
  <si>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</si>
  <si>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</si>
  <si>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</si>
  <si>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</si>
  <si>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</si>
  <si>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</si>
  <si>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</si>
  <si>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</si>
  <si>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</si>
  <si>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</si>
  <si>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</si>
  <si>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</si>
  <si>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</si>
  <si>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</si>
  <si>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</si>
  <si>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</si>
  <si>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</si>
  <si>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</si>
  <si>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</si>
  <si>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</si>
  <si>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</si>
  <si>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</si>
  <si>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</si>
  <si>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</si>
  <si>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</si>
  <si>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</si>
  <si>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</si>
  <si>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</si>
  <si>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</si>
  <si>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</si>
  <si>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</si>
  <si>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</si>
  <si>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</si>
  <si>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</si>
  <si>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</si>
  <si>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</si>
  <si>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</si>
  <si>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</si>
  <si>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</si>
  <si>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</si>
  <si>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</si>
  <si>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</si>
  <si>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</si>
  <si>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</si>
  <si>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</si>
  <si>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</si>
  <si>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</si>
  <si>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</si>
  <si>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</si>
  <si>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</si>
  <si>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</si>
  <si>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</si>
  <si>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</si>
  <si>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</si>
  <si>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</si>
  <si>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</si>
  <si>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</si>
  <si>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</si>
  <si>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</si>
  <si>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</si>
  <si>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</si>
  <si>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</si>
  <si>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</si>
  <si>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</si>
  <si>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</si>
  <si>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</si>
  <si>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</si>
  <si>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</si>
  <si>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</si>
  <si>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</si>
  <si>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</si>
  <si>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</si>
  <si>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</si>
  <si>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</si>
  <si>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</si>
  <si>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</si>
  <si>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</si>
  <si>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</si>
  <si>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</si>
  <si>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</si>
  <si>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</si>
  <si>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</si>
  <si>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</si>
  <si>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</si>
  <si>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</si>
  <si>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</si>
  <si>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</si>
  <si>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</si>
  <si>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</si>
  <si>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</si>
  <si>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</si>
  <si>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</si>
  <si>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</si>
  <si>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</si>
  <si>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</si>
  <si>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</si>
  <si>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</si>
  <si>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</si>
  <si>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</si>
  <si>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</si>
  <si>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</si>
  <si>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</si>
  <si>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</si>
  <si>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</si>
  <si>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</si>
  <si>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</si>
  <si>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</si>
  <si>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</si>
  <si>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</si>
  <si>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</si>
  <si>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</si>
  <si>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</si>
  <si>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</si>
  <si>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</si>
  <si>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</si>
  <si>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</si>
  <si>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</si>
  <si>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</si>
  <si>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</si>
  <si>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</si>
  <si>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</si>
  <si>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</si>
  <si>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</si>
  <si>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</si>
  <si>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</si>
  <si>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</si>
  <si>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</si>
  <si>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</si>
  <si>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</si>
  <si>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</si>
  <si>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</si>
  <si>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</si>
  <si>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</si>
  <si>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</si>
  <si>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</si>
  <si>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</si>
  <si>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</si>
  <si>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</si>
  <si>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</si>
  <si>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</si>
  <si>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</si>
  <si>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</si>
  <si>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</si>
  <si>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</si>
  <si>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</si>
  <si>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</si>
  <si>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</si>
  <si>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</si>
  <si>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</si>
  <si>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</si>
  <si>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</si>
  <si>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</si>
  <si>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</si>
  <si>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</si>
  <si>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</si>
  <si>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</si>
  <si>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</si>
  <si>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</si>
  <si>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</si>
  <si>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</si>
  <si>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</si>
  <si>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</si>
  <si>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</si>
  <si>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</si>
  <si>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</si>
  <si>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</si>
  <si>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</si>
  <si>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</si>
  <si>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</si>
  <si>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</si>
  <si>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</si>
  <si>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</si>
  <si>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</si>
  <si>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</si>
  <si>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</si>
  <si>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</si>
  <si>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</si>
  <si>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</si>
  <si>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</si>
  <si>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</si>
  <si>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</si>
  <si>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</si>
  <si>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</si>
  <si>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</si>
  <si>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</si>
  <si>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</si>
  <si>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</si>
  <si>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</si>
  <si>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</si>
  <si>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</si>
  <si>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</si>
  <si>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</si>
  <si>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</si>
  <si>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</si>
  <si>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</si>
  <si>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</si>
  <si>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</si>
  <si>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</si>
  <si>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</si>
  <si>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</si>
  <si>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</si>
  <si>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</si>
  <si>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</si>
  <si>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</si>
  <si>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</si>
  <si>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</si>
  <si>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</si>
  <si>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</si>
  <si>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</si>
  <si>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</si>
  <si>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</si>
  <si>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</si>
  <si>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</si>
  <si>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</si>
  <si>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</si>
  <si>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</si>
  <si>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</si>
  <si>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</si>
  <si>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</si>
  <si>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</si>
  <si>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</si>
  <si>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</si>
  <si>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</si>
  <si>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</si>
  <si>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</si>
  <si>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</si>
  <si>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</si>
  <si>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</si>
  <si>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</si>
  <si>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</si>
  <si>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</si>
  <si>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</si>
  <si>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</si>
  <si>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</si>
  <si>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</si>
  <si>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</si>
  <si>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</si>
  <si>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</si>
  <si>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</si>
  <si>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</si>
  <si>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</si>
  <si>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</si>
  <si>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</si>
  <si>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</si>
  <si>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</si>
  <si>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</si>
  <si>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</si>
  <si>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</si>
  <si>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</si>
  <si>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</si>
  <si>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</si>
  <si>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</si>
  <si>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</si>
  <si>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</si>
  <si>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</si>
  <si>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</si>
  <si>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</si>
  <si>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</si>
  <si>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</si>
  <si>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</si>
  <si>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</si>
  <si>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</si>
  <si>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</si>
  <si>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</si>
  <si>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</si>
  <si>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</si>
  <si>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</si>
  <si>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</si>
  <si>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</si>
  <si>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</si>
  <si>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</si>
  <si>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</si>
  <si>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</si>
  <si>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</si>
  <si>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</si>
  <si>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</si>
  <si>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</si>
  <si>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</si>
  <si>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</si>
  <si>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</si>
  <si>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</si>
  <si>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</si>
  <si>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</si>
  <si>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</si>
  <si>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</si>
  <si>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</si>
  <si>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</si>
  <si>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</si>
  <si>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</si>
  <si>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</si>
  <si>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</si>
  <si>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</si>
  <si>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</si>
  <si>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</si>
  <si>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</si>
  <si>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</si>
  <si>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</si>
  <si>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</si>
  <si>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</si>
  <si>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</si>
  <si>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</si>
  <si>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</si>
  <si>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</si>
  <si>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</si>
  <si>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</si>
  <si>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</si>
  <si>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</si>
  <si>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</si>
  <si>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</si>
  <si>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</si>
  <si>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</si>
  <si>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</si>
  <si>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</si>
  <si>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</si>
  <si>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</si>
  <si>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</si>
  <si>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</si>
  <si>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</si>
  <si>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</si>
  <si>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</si>
  <si>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</si>
  <si>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</si>
  <si>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</si>
  <si>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</si>
  <si>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</si>
  <si>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</si>
  <si>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</si>
  <si>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</si>
  <si>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</si>
  <si>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</si>
  <si>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</si>
  <si>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</si>
  <si>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</si>
  <si>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</si>
  <si>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</si>
  <si>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</si>
  <si>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</si>
  <si>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</si>
  <si>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</si>
  <si>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</si>
  <si>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</si>
  <si>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</si>
  <si>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</si>
  <si>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</si>
  <si>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</si>
  <si>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</si>
  <si>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</si>
  <si>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</si>
  <si>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</si>
  <si>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</si>
  <si>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</si>
  <si>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</si>
  <si>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</si>
  <si>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</si>
  <si>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</si>
  <si>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</si>
  <si>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</si>
  <si>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Винъс АД</t>
  </si>
  <si>
    <t>01.01.2008-31.12.2008</t>
  </si>
  <si>
    <t>1. ОЛ ТРЕЙД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</si>
</sst>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73">
      <selection activeCell="G29" sqref="G2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175002913</v>
      </c>
    </row>
    <row r="4" spans="1:8" ht="28.5">
      <c r="A4" s="204" t="s">
        <v>3</v>
      </c>
      <c r="B4" s="583"/>
      <c r="C4" s="583"/>
      <c r="D4" s="584"/>
      <c r="E4" s="576" t="s">
        <v>159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730</v>
      </c>
      <c r="D11" s="205">
        <v>181</v>
      </c>
      <c r="E11" s="293" t="s">
        <v>22</v>
      </c>
      <c r="F11" s="298" t="s">
        <v>23</v>
      </c>
      <c r="G11" s="206">
        <v>3063</v>
      </c>
      <c r="H11" s="206">
        <v>3063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4</v>
      </c>
      <c r="D17" s="205"/>
      <c r="E17" s="299" t="s">
        <v>46</v>
      </c>
      <c r="F17" s="301" t="s">
        <v>47</v>
      </c>
      <c r="G17" s="208">
        <f>G11+G14+G15+G16</f>
        <v>3063</v>
      </c>
      <c r="H17" s="208">
        <f>H11+H14+H15+H16</f>
        <v>3063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734</v>
      </c>
      <c r="D19" s="209">
        <f>SUM(D11:D18)</f>
        <v>181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12</v>
      </c>
      <c r="H27" s="208">
        <f>SUM(H28:H30)</f>
        <v>12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12</v>
      </c>
      <c r="H28" s="206">
        <v>25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-13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38</v>
      </c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50</v>
      </c>
      <c r="H33" s="208">
        <f>H27+H31+H32</f>
        <v>12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780</v>
      </c>
      <c r="D34" s="209">
        <f>SUM(D35:D38)</f>
        <v>780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3113</v>
      </c>
      <c r="H36" s="208">
        <f>H25+H17+H33</f>
        <v>3075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780</v>
      </c>
      <c r="D38" s="205">
        <v>780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373</v>
      </c>
      <c r="H44" s="206">
        <v>401</v>
      </c>
    </row>
    <row r="45" spans="1:15" ht="15">
      <c r="A45" s="291" t="s">
        <v>136</v>
      </c>
      <c r="B45" s="305" t="s">
        <v>137</v>
      </c>
      <c r="C45" s="209">
        <f>C34+C39+C44</f>
        <v>780</v>
      </c>
      <c r="D45" s="209">
        <f>D34+D39+D44</f>
        <v>780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20</v>
      </c>
      <c r="H48" s="206">
        <v>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393</v>
      </c>
      <c r="H49" s="208">
        <f>SUM(H43:H48)</f>
        <v>404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1514</v>
      </c>
      <c r="D55" s="209">
        <f>D19+D20+D21+D27+D32+D45+D51+D53+D54</f>
        <v>961</v>
      </c>
      <c r="E55" s="293" t="s">
        <v>172</v>
      </c>
      <c r="F55" s="317" t="s">
        <v>173</v>
      </c>
      <c r="G55" s="208">
        <f>G49+G51+G52+G53+G54</f>
        <v>393</v>
      </c>
      <c r="H55" s="208">
        <f>H49+H51+H52+H53+H54</f>
        <v>404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1046</v>
      </c>
      <c r="D61" s="205">
        <v>1117</v>
      </c>
      <c r="E61" s="299" t="s">
        <v>189</v>
      </c>
      <c r="F61" s="328" t="s">
        <v>190</v>
      </c>
      <c r="G61" s="208">
        <f>SUM(G62:G68)</f>
        <v>0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1046</v>
      </c>
      <c r="D64" s="209">
        <f>SUM(D58:D63)</f>
        <v>1117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/>
    </row>
    <row r="67" spans="1:8" ht="15">
      <c r="A67" s="291" t="s">
        <v>207</v>
      </c>
      <c r="B67" s="297" t="s">
        <v>208</v>
      </c>
      <c r="C67" s="205">
        <v>923</v>
      </c>
      <c r="D67" s="205">
        <v>1033</v>
      </c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0</v>
      </c>
      <c r="H71" s="215">
        <f>H59+H60+H61+H69+H70</f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22</v>
      </c>
      <c r="D72" s="205">
        <v>14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945</v>
      </c>
      <c r="D75" s="209">
        <f>SUM(D67:D74)</f>
        <v>1048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0</v>
      </c>
      <c r="H79" s="216">
        <f>H71+H74+H75+H76</f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353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</v>
      </c>
      <c r="D91" s="209">
        <f>SUM(D87:D90)</f>
        <v>353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1992</v>
      </c>
      <c r="D93" s="209">
        <f>D64+D75+D84+D91+D92</f>
        <v>2518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3506</v>
      </c>
      <c r="D94" s="218">
        <f>D93+D55</f>
        <v>3479</v>
      </c>
      <c r="E94" s="558" t="s">
        <v>270</v>
      </c>
      <c r="F94" s="345" t="s">
        <v>271</v>
      </c>
      <c r="G94" s="219">
        <f>G36+G39+G55+G79</f>
        <v>3506</v>
      </c>
      <c r="H94" s="219">
        <f>H36+H39+H55+H79</f>
        <v>3479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C28">
      <selection activeCell="H20" sqref="H2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Винъс АД</v>
      </c>
      <c r="F2" s="598" t="s">
        <v>2</v>
      </c>
      <c r="G2" s="598"/>
      <c r="H2" s="353">
        <f>'справка №1-БАЛАНС'!H3</f>
        <v>175002913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 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01.01.2008-31.12.2008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>
        <v>170</v>
      </c>
      <c r="H9" s="87"/>
    </row>
    <row r="10" spans="1:8" ht="12">
      <c r="A10" s="363" t="s">
        <v>286</v>
      </c>
      <c r="B10" s="364" t="s">
        <v>287</v>
      </c>
      <c r="C10" s="79">
        <v>93</v>
      </c>
      <c r="D10" s="79">
        <v>21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</v>
      </c>
      <c r="D12" s="79"/>
      <c r="E12" s="366" t="s">
        <v>78</v>
      </c>
      <c r="F12" s="365" t="s">
        <v>296</v>
      </c>
      <c r="G12" s="87">
        <v>10</v>
      </c>
      <c r="H12" s="87"/>
    </row>
    <row r="13" spans="1:18" ht="12">
      <c r="A13" s="363" t="s">
        <v>297</v>
      </c>
      <c r="B13" s="364" t="s">
        <v>298</v>
      </c>
      <c r="C13" s="79"/>
      <c r="D13" s="79"/>
      <c r="E13" s="367" t="s">
        <v>51</v>
      </c>
      <c r="F13" s="368" t="s">
        <v>299</v>
      </c>
      <c r="G13" s="88">
        <f>SUM(G9:G12)</f>
        <v>180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>
        <v>84</v>
      </c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178</v>
      </c>
      <c r="D19" s="82">
        <f>SUM(D9:D15)+D16</f>
        <v>21</v>
      </c>
      <c r="E19" s="373" t="s">
        <v>316</v>
      </c>
      <c r="F19" s="369" t="s">
        <v>317</v>
      </c>
      <c r="G19" s="87">
        <v>75</v>
      </c>
      <c r="H19" s="87">
        <v>56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>
        <v>24</v>
      </c>
      <c r="D22" s="79">
        <v>4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75</v>
      </c>
      <c r="H24" s="88">
        <f>SUM(H19:H23)</f>
        <v>56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11</v>
      </c>
      <c r="D25" s="79">
        <v>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35</v>
      </c>
      <c r="D26" s="82">
        <f>SUM(D22:D25)</f>
        <v>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213</v>
      </c>
      <c r="D28" s="83">
        <f>D26+D19</f>
        <v>30</v>
      </c>
      <c r="E28" s="174" t="s">
        <v>338</v>
      </c>
      <c r="F28" s="370" t="s">
        <v>339</v>
      </c>
      <c r="G28" s="88">
        <f>G13+G15+G24</f>
        <v>255</v>
      </c>
      <c r="H28" s="88">
        <f>H13+H15+H24</f>
        <v>56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42</v>
      </c>
      <c r="D30" s="83">
        <f>IF((H28-D28)&gt;0,H28-D28,0)</f>
        <v>26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213</v>
      </c>
      <c r="D33" s="82">
        <f>D28-D31+D32</f>
        <v>30</v>
      </c>
      <c r="E33" s="174" t="s">
        <v>352</v>
      </c>
      <c r="F33" s="370" t="s">
        <v>353</v>
      </c>
      <c r="G33" s="90">
        <f>G32-G31+G28</f>
        <v>255</v>
      </c>
      <c r="H33" s="90">
        <f>H32-H31+H28</f>
        <v>56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42</v>
      </c>
      <c r="D34" s="83">
        <f>IF((H33-D33)&gt;0,H33-D33,0)</f>
        <v>26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4</v>
      </c>
      <c r="D35" s="82">
        <f>D36+D37+D38</f>
        <v>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>
        <v>4</v>
      </c>
      <c r="D36" s="79">
        <v>1</v>
      </c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38</v>
      </c>
      <c r="D39" s="570">
        <f>+IF((H33-D33-D35)&gt;0,H33-D33-D35,0)</f>
        <v>25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38</v>
      </c>
      <c r="D41" s="85">
        <f>IF(H39=0,IF(D39-D40&gt;0,D39-D40+H40,0),IF(H39-H40&lt;0,H40-H39+D39,0))</f>
        <v>25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255</v>
      </c>
      <c r="D42" s="86">
        <f>D33+D35+D39</f>
        <v>56</v>
      </c>
      <c r="E42" s="177" t="s">
        <v>379</v>
      </c>
      <c r="F42" s="178" t="s">
        <v>380</v>
      </c>
      <c r="G42" s="90">
        <f>G39+G33</f>
        <v>255</v>
      </c>
      <c r="H42" s="90">
        <f>H39+H33</f>
        <v>56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D45" sqref="D4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Винъс АД</v>
      </c>
      <c r="C4" s="397" t="s">
        <v>2</v>
      </c>
      <c r="D4" s="353">
        <f>'справка №1-БАЛАНС'!H3</f>
        <v>175002913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 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01.01.2008-31.12.2008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225</v>
      </c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-138</v>
      </c>
      <c r="D11" s="92">
        <v>-247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</v>
      </c>
      <c r="D13" s="92"/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-8</v>
      </c>
      <c r="D14" s="92">
        <v>85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>
        <v>-1</v>
      </c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>
        <v>-33</v>
      </c>
      <c r="D17" s="92">
        <v>-3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>
        <v>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44</v>
      </c>
      <c r="D20" s="93">
        <f>SUM(D10:D19)</f>
        <v>-164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-553</v>
      </c>
      <c r="D22" s="92">
        <v>-181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-978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>
        <v>98</v>
      </c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>
        <v>87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>
        <v>-780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-368</v>
      </c>
      <c r="D32" s="93">
        <f>SUM(D22:D31)</f>
        <v>-1939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>
        <v>2048</v>
      </c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1275</v>
      </c>
      <c r="D36" s="92">
        <v>1529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-1303</v>
      </c>
      <c r="D37" s="92">
        <v>-1128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-28</v>
      </c>
      <c r="D42" s="93">
        <f>SUM(D34:D41)</f>
        <v>2449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-352</v>
      </c>
      <c r="D43" s="93">
        <f>D42+D32+D20</f>
        <v>346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353</v>
      </c>
      <c r="D44" s="184">
        <v>7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</v>
      </c>
      <c r="D45" s="93">
        <f>D44+D43</f>
        <v>353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K13">
      <selection activeCell="M16" sqref="M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Винъс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175002913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 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01.01.2008-31.12.2008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3063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25</v>
      </c>
      <c r="J11" s="96">
        <f>'справка №1-БАЛАНС'!H29+'справка №1-БАЛАНС'!H32</f>
        <v>-13</v>
      </c>
      <c r="K11" s="98"/>
      <c r="L11" s="424">
        <f>SUM(C11:K11)</f>
        <v>3075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3063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25</v>
      </c>
      <c r="J15" s="99">
        <f t="shared" si="2"/>
        <v>-13</v>
      </c>
      <c r="K15" s="99">
        <f t="shared" si="2"/>
        <v>0</v>
      </c>
      <c r="L15" s="424">
        <f t="shared" si="1"/>
        <v>3075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38</v>
      </c>
      <c r="J16" s="425">
        <f>+'справка №1-БАЛАНС'!G32</f>
        <v>0</v>
      </c>
      <c r="K16" s="98"/>
      <c r="L16" s="424">
        <f t="shared" si="1"/>
        <v>38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3063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63</v>
      </c>
      <c r="J29" s="97">
        <f t="shared" si="6"/>
        <v>-13</v>
      </c>
      <c r="K29" s="97">
        <f t="shared" si="6"/>
        <v>0</v>
      </c>
      <c r="L29" s="424">
        <f t="shared" si="1"/>
        <v>3113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3063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63</v>
      </c>
      <c r="J32" s="97">
        <f t="shared" si="7"/>
        <v>-13</v>
      </c>
      <c r="K32" s="97">
        <f t="shared" si="7"/>
        <v>0</v>
      </c>
      <c r="L32" s="424">
        <f t="shared" si="1"/>
        <v>3113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N22">
      <selection activeCell="F15" sqref="F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Винъс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175002913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01.01.2008-31.12.2008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675</v>
      </c>
      <c r="E9" s="243">
        <v>55</v>
      </c>
      <c r="F9" s="243"/>
      <c r="G9" s="113">
        <f>D9+E9-F9</f>
        <v>730</v>
      </c>
      <c r="H9" s="103"/>
      <c r="I9" s="103"/>
      <c r="J9" s="113">
        <f>G9+H9-I9</f>
        <v>730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730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>
        <v>4</v>
      </c>
      <c r="F15" s="565"/>
      <c r="G15" s="113">
        <f t="shared" si="2"/>
        <v>4</v>
      </c>
      <c r="H15" s="566"/>
      <c r="I15" s="566"/>
      <c r="J15" s="113">
        <f t="shared" si="3"/>
        <v>4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4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675</v>
      </c>
      <c r="E17" s="248">
        <f>SUM(E9:E16)</f>
        <v>59</v>
      </c>
      <c r="F17" s="248">
        <f>SUM(F9:F16)</f>
        <v>0</v>
      </c>
      <c r="G17" s="113">
        <f t="shared" si="2"/>
        <v>734</v>
      </c>
      <c r="H17" s="114">
        <f>SUM(H9:H16)</f>
        <v>0</v>
      </c>
      <c r="I17" s="114">
        <f>SUM(I9:I16)</f>
        <v>0</v>
      </c>
      <c r="J17" s="113">
        <f t="shared" si="3"/>
        <v>734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734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780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780</v>
      </c>
      <c r="H27" s="109">
        <f t="shared" si="8"/>
        <v>0</v>
      </c>
      <c r="I27" s="109">
        <f t="shared" si="8"/>
        <v>0</v>
      </c>
      <c r="J27" s="110">
        <f t="shared" si="3"/>
        <v>780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780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>
        <v>780</v>
      </c>
      <c r="E28" s="243"/>
      <c r="F28" s="243"/>
      <c r="G28" s="113">
        <f t="shared" si="2"/>
        <v>780</v>
      </c>
      <c r="H28" s="103"/>
      <c r="I28" s="103"/>
      <c r="J28" s="113">
        <f t="shared" si="3"/>
        <v>780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780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780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780</v>
      </c>
      <c r="H38" s="114">
        <f t="shared" si="12"/>
        <v>0</v>
      </c>
      <c r="I38" s="114">
        <f t="shared" si="12"/>
        <v>0</v>
      </c>
      <c r="J38" s="113">
        <f t="shared" si="3"/>
        <v>780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780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1455</v>
      </c>
      <c r="E40" s="547">
        <f>E17+E18+E19+E25+E38+E39</f>
        <v>59</v>
      </c>
      <c r="F40" s="547">
        <f aca="true" t="shared" si="13" ref="F40:R40">F17+F18+F19+F25+F38+F39</f>
        <v>0</v>
      </c>
      <c r="G40" s="547">
        <f t="shared" si="13"/>
        <v>1514</v>
      </c>
      <c r="H40" s="547">
        <f t="shared" si="13"/>
        <v>0</v>
      </c>
      <c r="I40" s="547">
        <f t="shared" si="13"/>
        <v>0</v>
      </c>
      <c r="J40" s="547">
        <f t="shared" si="13"/>
        <v>1514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1514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D94" sqref="D9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Винъс АД</v>
      </c>
      <c r="B3" s="633"/>
      <c r="C3" s="353" t="s">
        <v>2</v>
      </c>
      <c r="E3" s="353">
        <f>'справка №1-БАЛАНС'!H3</f>
        <v>175002913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01.01.2008-31.12.2008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923</v>
      </c>
      <c r="D24" s="165">
        <f>SUM(D25:D27)</f>
        <v>923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>
        <v>923</v>
      </c>
      <c r="D25" s="153">
        <v>923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22</v>
      </c>
      <c r="D33" s="150">
        <f>SUM(D34:D37)</f>
        <v>22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>
        <v>22</v>
      </c>
      <c r="D35" s="153">
        <v>22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945</v>
      </c>
      <c r="D43" s="149">
        <f>D24+D28+D29+D31+D30+D32+D33+D38</f>
        <v>945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945</v>
      </c>
      <c r="D44" s="148">
        <f>D43+D21+D19+D9</f>
        <v>945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373</v>
      </c>
      <c r="D56" s="148">
        <f>D57+D59</f>
        <v>373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>
        <v>373</v>
      </c>
      <c r="D57" s="153">
        <v>373</v>
      </c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373</v>
      </c>
      <c r="D66" s="148">
        <f>D52+D56+D61+D62+D63+D64</f>
        <v>373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18</v>
      </c>
      <c r="D85" s="149">
        <f>SUM(D86:D90)+D94</f>
        <v>18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5</v>
      </c>
      <c r="D87" s="153">
        <v>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>
        <v>6</v>
      </c>
      <c r="D88" s="153">
        <v>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3</v>
      </c>
      <c r="D89" s="153">
        <v>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4</v>
      </c>
      <c r="D90" s="148">
        <f>SUM(D91:D93)</f>
        <v>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>
        <v>4</v>
      </c>
      <c r="D91" s="153">
        <v>4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20</v>
      </c>
      <c r="D96" s="149">
        <f>D85+D80+D75+D71+D95</f>
        <v>20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393</v>
      </c>
      <c r="D97" s="149">
        <f>D96+D68+D66</f>
        <v>393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F14" sqref="F14:H14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Винъс АД</v>
      </c>
      <c r="D4" s="612"/>
      <c r="E4" s="612"/>
      <c r="F4" s="578"/>
      <c r="G4" s="580" t="s">
        <v>2</v>
      </c>
      <c r="H4" s="580"/>
      <c r="I4" s="589">
        <f>'справка №1-БАЛАНС'!H3</f>
        <v>175002913</v>
      </c>
    </row>
    <row r="5" spans="1:9" ht="15">
      <c r="A5" s="522" t="s">
        <v>5</v>
      </c>
      <c r="B5" s="579"/>
      <c r="C5" s="606" t="str">
        <f>'справка №1-БАЛАНС'!E5</f>
        <v>01.01.2008-31.12.2008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45">
      <selection activeCell="E63" sqref="E6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Винъс АД</v>
      </c>
      <c r="C5" s="611"/>
      <c r="D5" s="587"/>
      <c r="E5" s="353" t="s">
        <v>2</v>
      </c>
      <c r="F5" s="590">
        <f>'справка №1-БАЛАНС'!H3</f>
        <v>175002913</v>
      </c>
    </row>
    <row r="6" spans="1:13" ht="15" customHeight="1">
      <c r="A6" s="54" t="s">
        <v>825</v>
      </c>
      <c r="B6" s="606" t="str">
        <f>'справка №1-БАЛАНС'!E5</f>
        <v>01.01.2008-31.12.2008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544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868</v>
      </c>
      <c r="B63" s="70"/>
      <c r="C63" s="550">
        <v>780</v>
      </c>
      <c r="D63" s="550">
        <v>20</v>
      </c>
      <c r="E63" s="550"/>
      <c r="F63" s="552">
        <f>C63-E63</f>
        <v>780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780</v>
      </c>
      <c r="D78" s="536"/>
      <c r="E78" s="536">
        <f>SUM(E63:E77)</f>
        <v>0</v>
      </c>
      <c r="F78" s="551">
        <f>SUM(F63:F77)</f>
        <v>780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780</v>
      </c>
      <c r="D79" s="536"/>
      <c r="E79" s="536">
        <f>E78+E61+E44+E27</f>
        <v>0</v>
      </c>
      <c r="F79" s="551">
        <f>F78+F61+F44+F27</f>
        <v>780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Pc_new</cp:lastModifiedBy>
  <cp:lastPrinted>2004-04-29T08:37:36Z</cp:lastPrinted>
  <dcterms:created xsi:type="dcterms:W3CDTF">2000-06-29T12:02:40Z</dcterms:created>
  <dcterms:modified xsi:type="dcterms:W3CDTF">2009-03-23T18:27:36Z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