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<sst xmlns="http://schemas.openxmlformats.org/spreadsheetml/2006/main" count="1067" uniqueCount="893">
  <si>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</si>
  <si>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</si>
  <si>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</si>
  <si>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</si>
  <si>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</si>
  <si>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</si>
  <si>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</si>
  <si>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</si>
  <si>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</si>
  <si>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</si>
  <si>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</si>
  <si>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</si>
  <si>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</si>
  <si>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</si>
  <si>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</si>
  <si>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</si>
  <si>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</si>
  <si>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</si>
  <si>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</si>
  <si>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</si>
  <si>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</si>
  <si>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</si>
  <si>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</si>
  <si>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</si>
  <si>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</si>
  <si>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</si>
  <si>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</si>
  <si>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</si>
  <si>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</si>
  <si>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</si>
  <si>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</si>
  <si>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</si>
  <si>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</si>
  <si>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</si>
  <si>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</si>
  <si>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</si>
  <si>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</si>
  <si>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</si>
  <si>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</si>
  <si>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</si>
  <si>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</si>
  <si>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</si>
  <si>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</si>
  <si>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</si>
  <si>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</si>
  <si>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</si>
  <si>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</si>
  <si>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</si>
  <si>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</si>
  <si>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</si>
  <si>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</si>
  <si>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</si>
  <si>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</si>
  <si>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</si>
  <si>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</si>
  <si>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</si>
  <si>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</si>
  <si>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</si>
  <si>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</si>
  <si>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</si>
  <si>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</si>
  <si>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</si>
  <si>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</si>
  <si>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</si>
  <si>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</si>
  <si>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</si>
  <si>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</si>
  <si>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</si>
  <si>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</si>
  <si>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</si>
  <si>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</si>
  <si>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</si>
  <si>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</si>
  <si>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</si>
  <si>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</si>
  <si>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</si>
  <si>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</si>
  <si>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</si>
  <si>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</si>
  <si>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</si>
  <si>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</si>
  <si>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</si>
  <si>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</si>
  <si>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</si>
  <si>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</si>
  <si>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</si>
  <si>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</si>
  <si>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</si>
  <si>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</si>
  <si>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</si>
  <si>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</si>
  <si>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</si>
  <si>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</si>
  <si>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</si>
  <si>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</si>
  <si>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</si>
  <si>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</si>
  <si>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</si>
  <si>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</si>
  <si>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</si>
  <si>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</si>
  <si>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</si>
  <si>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</si>
  <si>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</si>
  <si>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</si>
  <si>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</si>
  <si>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</si>
  <si>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</si>
  <si>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</si>
  <si>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</si>
  <si>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</si>
  <si>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</si>
  <si>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</si>
  <si>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</si>
  <si>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</si>
  <si>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</si>
  <si>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</si>
  <si>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</si>
  <si>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</si>
  <si>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</si>
  <si>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</si>
  <si>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</si>
  <si>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</si>
  <si>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</si>
  <si>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</si>
  <si>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</si>
  <si>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</si>
  <si>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</si>
  <si>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</si>
  <si>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</si>
  <si>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</si>
  <si>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</si>
  <si>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</si>
  <si>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</si>
  <si>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</si>
  <si>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</si>
  <si>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</si>
  <si>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</si>
  <si>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</si>
  <si>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</si>
  <si>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</si>
  <si>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</si>
  <si>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</si>
  <si>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</si>
  <si>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</si>
  <si>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</si>
  <si>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</si>
  <si>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</si>
  <si>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</si>
  <si>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</si>
  <si>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</si>
  <si>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</si>
  <si>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</si>
  <si>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</si>
  <si>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</si>
  <si>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</si>
  <si>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</si>
  <si>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</si>
  <si>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</si>
  <si>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</si>
  <si>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</si>
  <si>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</si>
  <si>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</si>
  <si>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</si>
  <si>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</si>
  <si>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</si>
  <si>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</si>
  <si>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</si>
  <si>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</si>
  <si>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</si>
  <si>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</si>
  <si>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</si>
  <si>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</si>
  <si>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</si>
  <si>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</si>
  <si>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</si>
  <si>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</si>
  <si>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</si>
  <si>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</si>
  <si>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</si>
  <si>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</si>
  <si>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</si>
  <si>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</si>
  <si>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</si>
  <si>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</si>
  <si>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</si>
  <si>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</si>
  <si>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</si>
  <si>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</si>
  <si>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</si>
  <si>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</si>
  <si>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</si>
  <si>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</si>
  <si>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</si>
  <si>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</si>
  <si>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</si>
  <si>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</si>
  <si>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</si>
  <si>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</si>
  <si>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</si>
  <si>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</si>
  <si>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</si>
  <si>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</si>
  <si>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</si>
  <si>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</si>
  <si>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</si>
  <si>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</si>
  <si>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</si>
  <si>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</si>
  <si>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</si>
  <si>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</si>
  <si>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</si>
  <si>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</si>
  <si>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</si>
  <si>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</si>
  <si>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</si>
  <si>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</si>
  <si>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</si>
  <si>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</si>
  <si>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</si>
  <si>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</si>
  <si>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</si>
  <si>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</si>
  <si>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</si>
  <si>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</si>
  <si>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</si>
  <si>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</si>
  <si>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</si>
  <si>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</si>
  <si>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</si>
  <si>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</si>
  <si>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</si>
  <si>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</si>
  <si>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</si>
  <si>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</si>
  <si>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</si>
  <si>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</si>
  <si>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</si>
  <si>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</si>
  <si>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</si>
  <si>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</si>
  <si>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</si>
  <si>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</si>
  <si>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</si>
  <si>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</si>
  <si>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</si>
  <si>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</si>
  <si>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</si>
  <si>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</si>
  <si>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</si>
  <si>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</si>
  <si>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</si>
  <si>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</si>
  <si>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</si>
  <si>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</si>
  <si>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</si>
  <si>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</si>
  <si>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</si>
  <si>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</si>
  <si>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</si>
  <si>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</si>
  <si>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</si>
  <si>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</si>
  <si>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</si>
  <si>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</si>
  <si>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</si>
  <si>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</si>
  <si>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</si>
  <si>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</si>
  <si>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</si>
  <si>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</si>
  <si>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</si>
  <si>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</si>
  <si>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</si>
  <si>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</si>
  <si>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</si>
  <si>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</si>
  <si>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</si>
  <si>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</si>
  <si>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</si>
  <si>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</si>
  <si>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</si>
  <si>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</si>
  <si>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</si>
  <si>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</si>
  <si>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</si>
  <si>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</si>
  <si>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</si>
  <si>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</si>
  <si>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</si>
  <si>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</si>
  <si>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</si>
  <si>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</si>
  <si>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</si>
  <si>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</si>
  <si>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</si>
  <si>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</si>
  <si>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</si>
  <si>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</si>
  <si>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</si>
  <si>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</si>
  <si>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</si>
  <si>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</si>
  <si>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</si>
  <si>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</si>
  <si>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</si>
  <si>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</si>
  <si>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</si>
  <si>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</si>
  <si>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</si>
  <si>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</si>
  <si>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</si>
  <si>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</si>
  <si>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</si>
  <si>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</si>
  <si>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</si>
  <si>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</si>
  <si>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</si>
  <si>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</si>
  <si>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</si>
  <si>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</si>
  <si>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</si>
  <si>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</si>
  <si>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</si>
  <si>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</si>
  <si>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</si>
  <si>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</si>
  <si>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</si>
  <si>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</si>
  <si>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</si>
  <si>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</si>
  <si>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</si>
  <si>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</si>
  <si>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</si>
  <si>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</si>
  <si>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</si>
  <si>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</si>
  <si>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</si>
  <si>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</si>
  <si>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</si>
  <si>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</si>
  <si>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</si>
  <si>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</si>
  <si>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</si>
  <si>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</si>
  <si>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</si>
  <si>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</si>
  <si>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</si>
  <si>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</si>
  <si>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</si>
  <si>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</si>
  <si>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</si>
  <si>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</si>
  <si>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</si>
  <si>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</si>
  <si>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</si>
  <si>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</si>
  <si>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</si>
  <si>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</si>
  <si>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</si>
  <si>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</si>
  <si>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</si>
  <si>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</si>
  <si>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</si>
  <si>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</si>
  <si>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</si>
  <si>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</si>
  <si>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</si>
  <si>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</si>
  <si>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</si>
  <si>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</si>
  <si>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</si>
  <si>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</si>
  <si>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</si>
  <si>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</si>
  <si>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</si>
  <si>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</si>
  <si>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</si>
  <si>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</si>
  <si>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</si>
  <si>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</si>
  <si>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</si>
  <si>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</si>
  <si>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</si>
  <si>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</si>
  <si>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</si>
  <si>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</si>
  <si>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</si>
  <si>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</si>
  <si>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</si>
  <si>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</si>
  <si>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</si>
  <si>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</si>
  <si>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</si>
  <si>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</si>
  <si>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</si>
  <si>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</si>
  <si>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</si>
  <si>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</si>
  <si>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</si>
  <si>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</si>
  <si>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</si>
  <si>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</si>
  <si>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</si>
  <si>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</si>
  <si>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</si>
  <si>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</si>
  <si>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</si>
  <si>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</si>
  <si>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</si>
  <si>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</si>
  <si>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</si>
  <si>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</si>
  <si>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</si>
  <si>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</si>
  <si>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</si>
  <si>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</si>
  <si>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</si>
  <si>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</si>
  <si>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</si>
  <si>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</si>
  <si>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</si>
  <si>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</si>
  <si>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</si>
  <si>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</si>
  <si>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</si>
  <si>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</si>
  <si>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</si>
  <si>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</si>
  <si>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</si>
  <si>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</si>
  <si>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</si>
  <si>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</si>
  <si>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</si>
  <si>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</si>
  <si>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</si>
  <si>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</si>
  <si>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</si>
  <si>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</si>
  <si>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</si>
  <si>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</si>
  <si>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</si>
  <si>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</si>
  <si>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</si>
  <si>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</si>
  <si>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</si>
  <si>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</si>
  <si>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</si>
  <si>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</si>
  <si>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</si>
  <si>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</si>
  <si>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</si>
  <si>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</si>
  <si>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</si>
  <si>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</si>
  <si>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</si>
  <si>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</si>
  <si>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</si>
  <si>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</si>
  <si>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</si>
  <si>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</si>
  <si>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</si>
  <si>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</si>
  <si>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</si>
  <si>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</si>
  <si>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</si>
  <si>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</si>
  <si>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</si>
  <si>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</si>
  <si>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</si>
  <si>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</si>
  <si>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</si>
  <si>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</si>
  <si>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</si>
  <si>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</si>
  <si>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</si>
  <si>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</si>
  <si>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</si>
  <si>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</si>
  <si>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</si>
  <si>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</si>
  <si>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</si>
  <si>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</si>
  <si>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</si>
  <si>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</si>
  <si>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</si>
  <si>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</si>
  <si>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</si>
  <si>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</si>
  <si>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</si>
  <si>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</si>
  <si>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</si>
  <si>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</si>
  <si>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</si>
  <si>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</si>
  <si>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</si>
  <si>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</si>
  <si>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</si>
  <si>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</si>
  <si>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</si>
  <si>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</si>
  <si>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</si>
  <si>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</si>
  <si>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</si>
  <si>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</si>
  <si>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</si>
  <si>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</si>
  <si>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</si>
  <si>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</si>
  <si>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</si>
  <si>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</si>
  <si>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</si>
  <si>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</si>
  <si>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</si>
  <si>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</si>
  <si>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</si>
  <si>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</si>
  <si>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</si>
  <si>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</si>
  <si>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</si>
  <si>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</si>
  <si>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</si>
  <si>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</si>
  <si>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</si>
  <si>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</si>
  <si>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</si>
  <si>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</si>
  <si>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</si>
  <si>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</si>
  <si>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</si>
  <si>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</si>
  <si>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</si>
  <si>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</si>
  <si>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</si>
  <si>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</si>
  <si>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</si>
  <si>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</si>
  <si>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</si>
  <si>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</si>
  <si>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</si>
  <si>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</si>
  <si>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</si>
  <si>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</si>
  <si>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</si>
  <si>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</si>
  <si>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</si>
  <si>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</si>
  <si>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</si>
  <si>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</si>
  <si>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</si>
  <si>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</si>
  <si>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</si>
  <si>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</si>
  <si>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</si>
  <si>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</si>
  <si>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</si>
  <si>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</si>
  <si>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</si>
  <si>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</si>
  <si>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</si>
  <si>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</si>
  <si>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</si>
  <si>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</si>
  <si>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</si>
  <si>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</si>
  <si>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</si>
  <si>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</si>
  <si>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</si>
  <si>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</si>
  <si>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</si>
  <si>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</si>
  <si>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</si>
  <si>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</si>
  <si>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</si>
  <si>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</si>
  <si>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</si>
  <si>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</si>
  <si>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</si>
  <si>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</si>
  <si>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</si>
  <si>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</si>
  <si>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</si>
  <si>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</si>
  <si>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</si>
  <si>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</si>
  <si>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</si>
  <si>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</si>
  <si>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</si>
  <si>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</si>
  <si>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</si>
  <si>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</si>
  <si>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</si>
  <si>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</si>
  <si>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</si>
  <si>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</si>
  <si>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</si>
  <si>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</si>
  <si>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</si>
  <si>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</si>
  <si>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</si>
  <si>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</si>
  <si>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</si>
  <si>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</si>
  <si>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</si>
  <si>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</si>
  <si>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</si>
  <si>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</si>
  <si>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</si>
  <si>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</si>
  <si>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</si>
  <si>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</si>
  <si>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</si>
  <si>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</si>
  <si>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</si>
  <si>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</si>
  <si>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</si>
  <si>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</si>
  <si>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</si>
  <si>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</si>
  <si>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</si>
  <si>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</si>
  <si>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</si>
  <si>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</si>
  <si>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</si>
  <si>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</si>
  <si>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</si>
  <si>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</si>
  <si>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</si>
  <si>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</si>
  <si>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</si>
  <si>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</si>
  <si>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</si>
  <si>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</si>
  <si>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</si>
  <si>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</si>
  <si>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</si>
  <si>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</si>
  <si>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</si>
  <si>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</si>
  <si>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</si>
  <si>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</si>
  <si>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</si>
  <si>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</si>
  <si>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</si>
  <si>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</si>
  <si>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</si>
  <si>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</si>
  <si>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</si>
  <si>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</si>
  <si>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</si>
  <si>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</si>
  <si>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</si>
  <si>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</si>
  <si>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</si>
  <si>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</si>
  <si>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</si>
  <si>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</si>
  <si>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</si>
  <si>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</si>
  <si>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</si>
  <si>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</si>
  <si>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</si>
  <si>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</si>
  <si>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</si>
  <si>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</si>
  <si>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</si>
  <si>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</si>
  <si>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</si>
  <si>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</si>
  <si>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</si>
  <si>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</si>
  <si>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</si>
  <si>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</si>
  <si>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</si>
  <si>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</si>
  <si>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</si>
  <si>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</si>
  <si>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</si>
  <si>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</si>
  <si>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</si>
  <si>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</si>
  <si>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</si>
  <si>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</si>
  <si>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</si>
  <si>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</si>
  <si>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</si>
  <si>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</si>
  <si>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</si>
  <si>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</si>
  <si>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</si>
  <si>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</si>
  <si>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</si>
  <si>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</si>
  <si>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</si>
  <si>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</si>
  <si>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</si>
  <si>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</si>
  <si>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</si>
  <si>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</si>
  <si>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</si>
  <si>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</si>
  <si>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</si>
  <si>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</si>
  <si>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</si>
  <si>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</si>
  <si>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</si>
  <si>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</si>
  <si>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</si>
  <si>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</si>
  <si>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</si>
  <si>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</si>
  <si>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</si>
  <si>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</si>
  <si>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</si>
  <si>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</si>
  <si>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</si>
  <si>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</si>
  <si>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</si>
  <si>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</si>
  <si>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</si>
  <si>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</si>
  <si>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</si>
  <si>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</si>
  <si>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</si>
  <si>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</si>
  <si>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</si>
  <si>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</si>
  <si>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</si>
  <si>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</si>
  <si>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</si>
  <si>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</si>
  <si>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</si>
  <si>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</si>
  <si>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</si>
  <si>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</si>
  <si>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</si>
  <si>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</si>
  <si>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</si>
  <si>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</si>
  <si>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</si>
  <si>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</si>
  <si>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</si>
  <si>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</si>
  <si>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</si>
  <si>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</si>
  <si>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</si>
  <si>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</si>
  <si>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</si>
  <si>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</si>
  <si>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</si>
  <si>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</si>
  <si>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</si>
  <si>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</si>
  <si>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</si>
  <si>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</si>
  <si>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</si>
  <si>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</si>
  <si>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</si>
  <si>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</si>
  <si>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</si>
  <si>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</si>
  <si>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</si>
  <si>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</si>
  <si>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</si>
  <si>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</si>
  <si>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</si>
  <si>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</si>
  <si>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</si>
  <si>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</si>
  <si>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</si>
  <si>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</si>
  <si>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</si>
  <si>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</si>
  <si>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</si>
  <si>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</si>
  <si>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</si>
  <si>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</si>
  <si>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</si>
  <si>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</si>
  <si>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</si>
  <si>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</si>
  <si>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</si>
  <si>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</si>
  <si>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</si>
  <si>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</si>
  <si>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</si>
  <si>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</si>
  <si>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</si>
  <si>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</si>
  <si>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</si>
  <si>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</si>
  <si>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</si>
  <si>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</si>
  <si>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</si>
  <si>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</si>
  <si>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</si>
  <si>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</si>
  <si>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</si>
  <si>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</si>
  <si>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</si>
  <si>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</si>
  <si>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</si>
  <si>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</si>
  <si>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</si>
  <si>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</si>
  <si>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</si>
  <si>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</si>
  <si>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</si>
  <si>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</si>
  <si>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</si>
  <si>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</si>
  <si>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</si>
  <si>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</si>
  <si>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</si>
  <si>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</si>
  <si>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</si>
  <si>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</si>
  <si>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</si>
  <si>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</si>
  <si>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</si>
  <si>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</si>
  <si>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</si>
  <si>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</si>
  <si>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</si>
  <si>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</si>
  <si>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</si>
  <si>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</si>
  <si>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</si>
  <si>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</si>
  <si>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</si>
  <si>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</si>
  <si>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</si>
  <si>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</si>
  <si>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</si>
  <si>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</si>
  <si>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</si>
  <si>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</si>
  <si>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</si>
  <si>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</si>
  <si>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</si>
  <si>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</si>
  <si>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</si>
  <si>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</si>
  <si>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</si>
  <si>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</si>
  <si>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</si>
  <si>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</si>
  <si>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</si>
  <si>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</si>
  <si>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</si>
  <si>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</si>
  <si>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</si>
  <si>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</si>
  <si>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</si>
  <si>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</si>
  <si>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</si>
  <si>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</si>
  <si>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</si>
  <si>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</si>
  <si>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</si>
  <si>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</si>
  <si>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</si>
  <si>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</si>
  <si>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</si>
  <si>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</si>
  <si>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</si>
  <si>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</si>
  <si>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</si>
  <si>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</si>
  <si>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</si>
  <si>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</si>
  <si>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</si>
  <si>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</si>
  <si>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</si>
  <si>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</si>
  <si>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</si>
  <si>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</si>
  <si>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</si>
  <si>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</si>
  <si>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</si>
  <si>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</si>
  <si>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</si>
  <si>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</si>
  <si>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</si>
  <si>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</si>
  <si>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</si>
  <si>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5. Артанес Майнинг Груп АД</t>
  </si>
  <si>
    <t>17. ФЕЦ Младеново ЕООД</t>
  </si>
  <si>
    <t>01.01.2012-31.12.2012 година</t>
  </si>
  <si>
    <t xml:space="preserve">Дата  на съставяне:     30.01.2013                                                          </t>
  </si>
  <si>
    <t>Дата на съставяне: 29.03.2013</t>
  </si>
  <si>
    <t>Дата на съставяне:     29.03.2013</t>
  </si>
  <si>
    <t>Дата на съставяне:         29.03.2013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</si>
</sst>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1" fontId="4" fillId="0" borderId="0" xfId="60" applyNumberFormat="1" applyFont="1">
      <alignment/>
      <protection/>
    </xf>
    <xf numFmtId="3" fontId="8" fillId="34" borderId="12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12%202012%20&#1044;&#1077;&#1082;&#1077;&#1084;&#1074;&#1088;&#1080;%202012\12%202011%202000%20&#1054;&#1090;&#1095;&#1077;&#1090;&#1080;\2030%20&#1054;&#1090;&#1095;&#1077;&#1090;&#1080;%20&#1052;&#1057;&#1060;&#1054;\Separate_2012_audited\&#1050;&#1086;&#1085;&#1089;&#1086;&#1083;.%20&#1087;&#1072;&#1082;&#1077;&#1090;%20&#1045;&#1085;&#1077;&#1084;&#1086;&#1085;&#1072;%2031.12.2012_audi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рганизация"/>
      <sheetName val="Инструкции"/>
      <sheetName val="Проверки"/>
      <sheetName val="30.09.2012 ЕСКО преизч"/>
      <sheetName val="30.09.2011ESKO"/>
      <sheetName val="TB2011_restated"/>
      <sheetName val="Приложение 5"/>
      <sheetName val="Баланс-КФН"/>
      <sheetName val="OПР-КФН"/>
      <sheetName val="OПР-проверка"/>
      <sheetName val="TBsynt"/>
      <sheetName val="Аналитични_ОПР"/>
      <sheetName val="Аналитични Баланс"/>
      <sheetName val="Баланс засичане"/>
      <sheetName val="баланс"/>
      <sheetName val="ОПР"/>
      <sheetName val="Sheet1"/>
      <sheetName val="ОСК"/>
      <sheetName val="бел.1"/>
      <sheetName val="бел.4"/>
      <sheetName val="бел.5"/>
      <sheetName val="бел.6"/>
      <sheetName val="бел.7"/>
      <sheetName val="бел.1-1"/>
      <sheetName val="бел.1-2"/>
      <sheetName val="бел.8"/>
      <sheetName val="бел.9"/>
      <sheetName val="бел.10"/>
      <sheetName val="бел.11"/>
      <sheetName val="бел.12"/>
      <sheetName val="бел.13"/>
      <sheetName val="бел.15"/>
      <sheetName val="бел.14"/>
      <sheetName val="бел.16"/>
      <sheetName val="бел.17"/>
      <sheetName val="бел.18"/>
      <sheetName val="бел.19"/>
      <sheetName val="бел.20"/>
      <sheetName val="бел.21"/>
      <sheetName val="бел.22"/>
      <sheetName val="бел.23"/>
      <sheetName val="бел.24"/>
      <sheetName val="бел.25"/>
      <sheetName val="Кредитен риск"/>
      <sheetName val="Ликвиден риск"/>
      <sheetName val="вътрешно-групови салда"/>
      <sheetName val="Banks"/>
      <sheetName val="151_WF"/>
      <sheetName val="ЕСКО"/>
      <sheetName val="Цесия"/>
      <sheetName val="Sheet4"/>
      <sheetName val="RP"/>
      <sheetName val="RP_rev_pivot"/>
      <sheetName val="RP_wf_rev"/>
      <sheetName val="RP_EXP_pivot"/>
      <sheetName val="RP_WF_exp"/>
      <sheetName val="Payables1-3months"/>
      <sheetName val="Loans_liquidity"/>
      <sheetName val="Сегмент"/>
      <sheetName val="Loans_maturity"/>
      <sheetName val="Leases"/>
      <sheetName val="Collateral"/>
    </sheetNames>
    <sheetDataSet>
      <sheetData sheetId="7">
        <row r="14">
          <cell r="E14">
            <v>4.08542</v>
          </cell>
          <cell r="L14">
            <v>49.59015</v>
          </cell>
        </row>
      </sheetData>
      <sheetData sheetId="8">
        <row r="16">
          <cell r="C16">
            <v>266.11807999999996</v>
          </cell>
        </row>
        <row r="44">
          <cell r="G44">
            <v>4297.48476678</v>
          </cell>
        </row>
        <row r="46">
          <cell r="G46">
            <v>34.31099</v>
          </cell>
        </row>
        <row r="48">
          <cell r="C48">
            <v>474.63044</v>
          </cell>
        </row>
      </sheetData>
      <sheetData sheetId="15">
        <row r="22">
          <cell r="E22">
            <v>27427.81221</v>
          </cell>
        </row>
        <row r="45">
          <cell r="E45">
            <v>7844.84228678</v>
          </cell>
        </row>
      </sheetData>
      <sheetData sheetId="20">
        <row r="11">
          <cell r="M11">
            <v>634.43888</v>
          </cell>
          <cell r="N11">
            <v>4.08542</v>
          </cell>
          <cell r="O11">
            <v>13.40622</v>
          </cell>
          <cell r="P11">
            <v>625.11808</v>
          </cell>
        </row>
        <row r="16">
          <cell r="C16">
            <v>5608</v>
          </cell>
          <cell r="D16">
            <v>20014</v>
          </cell>
          <cell r="E16">
            <v>4234</v>
          </cell>
          <cell r="F16">
            <v>6578</v>
          </cell>
          <cell r="H16">
            <v>5693</v>
          </cell>
        </row>
        <row r="17">
          <cell r="D17">
            <v>2268.1760600000002</v>
          </cell>
          <cell r="E17">
            <v>202.21509</v>
          </cell>
          <cell r="F17">
            <v>47.512</v>
          </cell>
          <cell r="G17">
            <v>125.79812999999999</v>
          </cell>
        </row>
        <row r="23">
          <cell r="D23">
            <v>-568.24161</v>
          </cell>
          <cell r="E23">
            <v>-260.46815</v>
          </cell>
          <cell r="F23">
            <v>-376.46161</v>
          </cell>
          <cell r="G23">
            <v>-212.17351</v>
          </cell>
          <cell r="H23">
            <v>-10.318</v>
          </cell>
        </row>
        <row r="25">
          <cell r="M25">
            <v>49.59015</v>
          </cell>
        </row>
        <row r="35">
          <cell r="D35">
            <v>432.52110999999996</v>
          </cell>
          <cell r="E35">
            <v>489.72323</v>
          </cell>
          <cell r="F35">
            <v>468.82326</v>
          </cell>
          <cell r="G35">
            <v>287.99039</v>
          </cell>
        </row>
        <row r="36">
          <cell r="D36">
            <v>-176.78548</v>
          </cell>
          <cell r="E36">
            <v>-230.52864000000002</v>
          </cell>
          <cell r="F36">
            <v>-280.49702</v>
          </cell>
          <cell r="G36">
            <v>-135.10907</v>
          </cell>
        </row>
        <row r="45">
          <cell r="C45">
            <v>5608</v>
          </cell>
          <cell r="D45">
            <v>19251.19882</v>
          </cell>
          <cell r="E45">
            <v>777.5523499999999</v>
          </cell>
          <cell r="F45">
            <v>3563.724149999999</v>
          </cell>
          <cell r="G45">
            <v>894.65858</v>
          </cell>
          <cell r="H45">
            <v>5657.8</v>
          </cell>
        </row>
      </sheetData>
      <sheetData sheetId="21">
        <row r="27">
          <cell r="C27">
            <v>557</v>
          </cell>
          <cell r="D27">
            <v>53.78387000000001</v>
          </cell>
        </row>
      </sheetData>
      <sheetData sheetId="22">
        <row r="13">
          <cell r="G13">
            <v>4</v>
          </cell>
        </row>
        <row r="42">
          <cell r="G42">
            <v>14806</v>
          </cell>
        </row>
      </sheetData>
      <sheetData sheetId="23">
        <row r="10">
          <cell r="C10">
            <v>1071.24791</v>
          </cell>
        </row>
        <row r="15">
          <cell r="C15">
            <v>-972.93424</v>
          </cell>
        </row>
        <row r="16">
          <cell r="C16">
            <v>376.31677</v>
          </cell>
        </row>
        <row r="17">
          <cell r="C17">
            <v>9080.626439999998</v>
          </cell>
        </row>
        <row r="31">
          <cell r="C31">
            <v>2774</v>
          </cell>
        </row>
        <row r="33">
          <cell r="C33">
            <v>325</v>
          </cell>
        </row>
        <row r="34">
          <cell r="C34">
            <v>11236.67416</v>
          </cell>
        </row>
        <row r="36">
          <cell r="C36">
            <v>1303</v>
          </cell>
        </row>
        <row r="37">
          <cell r="C37">
            <v>-200</v>
          </cell>
        </row>
        <row r="39">
          <cell r="C39">
            <v>-4953</v>
          </cell>
        </row>
        <row r="40">
          <cell r="C40">
            <v>1170.7207700000001</v>
          </cell>
        </row>
      </sheetData>
      <sheetData sheetId="26">
        <row r="5">
          <cell r="C5">
            <v>5680.8936</v>
          </cell>
        </row>
        <row r="8">
          <cell r="C8">
            <v>558.75365</v>
          </cell>
        </row>
      </sheetData>
      <sheetData sheetId="27">
        <row r="5">
          <cell r="C5">
            <v>17478.42865</v>
          </cell>
        </row>
        <row r="6">
          <cell r="C6">
            <v>8929.5801</v>
          </cell>
        </row>
        <row r="7">
          <cell r="C7">
            <v>2654.9735499999992</v>
          </cell>
        </row>
        <row r="8">
          <cell r="C8">
            <v>12366.251119999999</v>
          </cell>
        </row>
        <row r="9">
          <cell r="C9">
            <v>166.23691</v>
          </cell>
        </row>
        <row r="14">
          <cell r="C14">
            <v>3599.201290000001</v>
          </cell>
        </row>
        <row r="16">
          <cell r="C16">
            <v>-5936</v>
          </cell>
        </row>
      </sheetData>
      <sheetData sheetId="28">
        <row r="5">
          <cell r="C5">
            <v>1347.20527</v>
          </cell>
        </row>
        <row r="7">
          <cell r="C7">
            <v>474.60781000000003</v>
          </cell>
        </row>
        <row r="10">
          <cell r="C10">
            <v>290</v>
          </cell>
        </row>
      </sheetData>
      <sheetData sheetId="30">
        <row r="6">
          <cell r="C6">
            <v>68421.07283</v>
          </cell>
        </row>
        <row r="14">
          <cell r="C14">
            <v>4331.79575678</v>
          </cell>
        </row>
        <row r="77">
          <cell r="C77">
            <v>34.31099</v>
          </cell>
        </row>
      </sheetData>
      <sheetData sheetId="43">
        <row r="21">
          <cell r="C21">
            <v>2579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R186"/>
  <sheetViews>
    <sheetView zoomScalePageLayoutView="0" workbookViewId="0" topLeftCell="B1">
      <selection activeCell="G11" sqref="G11:H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5" t="s">
        <v>1</v>
      </c>
      <c r="B3" s="596"/>
      <c r="C3" s="596"/>
      <c r="D3" s="596"/>
      <c r="E3" s="462" t="s">
        <v>863</v>
      </c>
      <c r="F3" s="217" t="s">
        <v>2</v>
      </c>
      <c r="G3" s="172"/>
      <c r="H3" s="461" t="s">
        <v>865</v>
      </c>
    </row>
    <row r="4" spans="1:8" ht="15">
      <c r="A4" s="595" t="s">
        <v>3</v>
      </c>
      <c r="B4" s="601"/>
      <c r="C4" s="601"/>
      <c r="D4" s="601"/>
      <c r="E4" s="504" t="s">
        <v>864</v>
      </c>
      <c r="F4" s="597" t="s">
        <v>4</v>
      </c>
      <c r="G4" s="598"/>
      <c r="H4" s="461" t="s">
        <v>866</v>
      </c>
    </row>
    <row r="5" spans="1:8" ht="15">
      <c r="A5" s="595" t="s">
        <v>5</v>
      </c>
      <c r="B5" s="596"/>
      <c r="C5" s="596"/>
      <c r="D5" s="596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594">
        <f>'[1]бел.4'!C45</f>
        <v>5608</v>
      </c>
      <c r="D11" s="151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594">
        <f>'[1]бел.4'!D45</f>
        <v>19251.19882</v>
      </c>
      <c r="D12" s="151">
        <v>17807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594">
        <f>'[1]бел.4'!E45</f>
        <v>777.5523499999999</v>
      </c>
      <c r="D13" s="151">
        <v>1094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594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594">
        <f>'[1]бел.4'!F45</f>
        <v>3563.724149999999</v>
      </c>
      <c r="D15" s="151">
        <v>4081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594">
        <f>'[1]бел.4'!P11-359</f>
        <v>266.11807999999996</v>
      </c>
      <c r="D16" s="151">
        <f>634-326</f>
        <v>308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594">
        <f>'[1]бел.4'!H45</f>
        <v>5657.8</v>
      </c>
      <c r="D17" s="151">
        <v>5669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594">
        <f>'[1]бел.4'!G45-'[1]Баланс-КФН'!C16</f>
        <v>628.5405000000001</v>
      </c>
      <c r="D18" s="151">
        <f>1123-D16</f>
        <v>815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35752.9339</v>
      </c>
      <c r="D19" s="155">
        <f>SUM(D11:D18)</f>
        <v>35382</v>
      </c>
      <c r="E19" s="237" t="s">
        <v>53</v>
      </c>
      <c r="F19" s="242" t="s">
        <v>54</v>
      </c>
      <c r="G19" s="152">
        <f>36262-27523</f>
        <v>8739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f>'[1]бел.5'!C27</f>
        <v>557</v>
      </c>
      <c r="D23" s="151">
        <v>619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f>'[1]бел.5'!D27</f>
        <v>53.78387000000001</v>
      </c>
      <c r="D24" s="151">
        <v>68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64971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610.78387</v>
      </c>
      <c r="D27" s="155">
        <f>SUM(D23:D26)</f>
        <v>687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-14937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4688</v>
      </c>
      <c r="H28" s="152">
        <v>4688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-4688</v>
      </c>
      <c r="H29" s="316">
        <v>-19625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ДОХОДИТЕ'!C41-'справка №2-ОТЧЕТ ЗА ДОХОДИТЕ'!G34</f>
        <v>1736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-12586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1736</v>
      </c>
      <c r="H33" s="154">
        <f>H27+H31+H32</f>
        <v>-27523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14810</v>
      </c>
      <c r="D34" s="155">
        <f>SUM(D35:D38)</f>
        <v>17022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f>'[1]бел.6'!G42</f>
        <v>14806</v>
      </c>
      <c r="D35" s="151">
        <v>17018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52221</v>
      </c>
      <c r="H36" s="154">
        <f>H25+H17+H33</f>
        <v>50485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f>'[1]бел.6'!G13</f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'[1]бел.12'!C14-G46</f>
        <v>4297.48476678</v>
      </c>
      <c r="H44" s="152">
        <v>2781</v>
      </c>
    </row>
    <row r="45" spans="1:15" ht="15">
      <c r="A45" s="235" t="s">
        <v>136</v>
      </c>
      <c r="B45" s="249" t="s">
        <v>137</v>
      </c>
      <c r="C45" s="155">
        <f>C34+C39+C44</f>
        <v>14810</v>
      </c>
      <c r="D45" s="155">
        <f>D34+D39+D44</f>
        <v>17022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f>'[1]бел.12'!C77</f>
        <v>34.31099</v>
      </c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f>'[1]бел.7'!C10+'[1]бел.7'!C15+'[1]бел.7'!C16</f>
        <v>474.63044</v>
      </c>
      <c r="D48" s="151">
        <v>1011</v>
      </c>
      <c r="E48" s="237" t="s">
        <v>149</v>
      </c>
      <c r="F48" s="242" t="s">
        <v>150</v>
      </c>
      <c r="G48" s="152">
        <f>'[1]баланс'!E45-SUM('[1]Баланс-КФН'!G43:G47)-G51</f>
        <v>3451.0465299999996</v>
      </c>
      <c r="H48" s="152">
        <f>3747+672</f>
        <v>4419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7782.84228678</v>
      </c>
      <c r="H49" s="154">
        <f>SUM(H43:H48)</f>
        <v>7200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'[1]бел.7'!C17-'[1]Баланс-КФН'!C48</f>
        <v>8605.995999999997</v>
      </c>
      <c r="D50" s="151">
        <f>21647-D48</f>
        <v>20636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9080.626439999998</v>
      </c>
      <c r="D51" s="155">
        <f>SUM(D47:D50)</f>
        <v>21647</v>
      </c>
      <c r="E51" s="251" t="s">
        <v>157</v>
      </c>
      <c r="F51" s="245" t="s">
        <v>158</v>
      </c>
      <c r="G51" s="152">
        <v>62</v>
      </c>
      <c r="H51" s="152">
        <v>62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f>'[1]бел.25'!C21</f>
        <v>2579</v>
      </c>
      <c r="D54" s="151">
        <v>2561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62833.34421</v>
      </c>
      <c r="D55" s="155">
        <f>D19+D20+D21+D27+D32+D45+D51+D53+D54</f>
        <v>77299</v>
      </c>
      <c r="E55" s="237" t="s">
        <v>172</v>
      </c>
      <c r="F55" s="261" t="s">
        <v>173</v>
      </c>
      <c r="G55" s="154">
        <f>G49+G51+G52+G53+G54</f>
        <v>7844.84228678</v>
      </c>
      <c r="H55" s="154">
        <f>H49+H51+H52+H53+H54</f>
        <v>7262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'[1]бел.8'!C5</f>
        <v>5680.8936</v>
      </c>
      <c r="D58" s="151">
        <v>3605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'[1]бел.12'!C6-'[1]Баланс-КФН'!G44</f>
        <v>64123.588063220006</v>
      </c>
      <c r="H59" s="152">
        <f>58429-H44</f>
        <v>55648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444</v>
      </c>
      <c r="H60" s="152">
        <v>498</v>
      </c>
    </row>
    <row r="61" spans="1:18" ht="15">
      <c r="A61" s="235" t="s">
        <v>187</v>
      </c>
      <c r="B61" s="244" t="s">
        <v>188</v>
      </c>
      <c r="C61" s="151">
        <f>'[1]бел.8'!C8</f>
        <v>558.75365</v>
      </c>
      <c r="D61" s="151">
        <v>391</v>
      </c>
      <c r="E61" s="243" t="s">
        <v>189</v>
      </c>
      <c r="F61" s="272" t="s">
        <v>190</v>
      </c>
      <c r="G61" s="154">
        <f>SUM(G62:G68)</f>
        <v>20317.243709999995</v>
      </c>
      <c r="H61" s="154">
        <f>SUM(H62:H68)</f>
        <v>32921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2553.6371399999994</v>
      </c>
      <c r="H62" s="152">
        <f>7154+2362</f>
        <v>9516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1559.4550900000002</v>
      </c>
      <c r="H63" s="152">
        <f>10506</f>
        <v>10506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6239.64725</v>
      </c>
      <c r="D64" s="155">
        <f>SUM(D58:D63)</f>
        <v>3996</v>
      </c>
      <c r="E64" s="237" t="s">
        <v>200</v>
      </c>
      <c r="F64" s="242" t="s">
        <v>201</v>
      </c>
      <c r="G64" s="152">
        <v>7297.399439999997</v>
      </c>
      <c r="H64" s="152">
        <v>6060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5743</v>
      </c>
      <c r="H65" s="152">
        <v>4946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1512.62551</v>
      </c>
      <c r="H66" s="152">
        <v>558</v>
      </c>
    </row>
    <row r="67" spans="1:8" ht="15">
      <c r="A67" s="235" t="s">
        <v>207</v>
      </c>
      <c r="B67" s="241" t="s">
        <v>208</v>
      </c>
      <c r="C67" s="151">
        <f>'[1]бел.9'!C7+'[1]бел.7'!C33</f>
        <v>2979.9735499999992</v>
      </c>
      <c r="D67" s="151">
        <f>7689+500</f>
        <v>8189</v>
      </c>
      <c r="E67" s="237" t="s">
        <v>209</v>
      </c>
      <c r="F67" s="242" t="s">
        <v>210</v>
      </c>
      <c r="G67" s="152">
        <v>1234.9384</v>
      </c>
      <c r="H67" s="152">
        <v>215</v>
      </c>
    </row>
    <row r="68" spans="1:8" ht="15">
      <c r="A68" s="235" t="s">
        <v>211</v>
      </c>
      <c r="B68" s="241" t="s">
        <v>212</v>
      </c>
      <c r="C68" s="151">
        <f>'[1]баланс'!E22+'[1]бел.9'!C5+'[1]бел.9'!C6+'[1]бел.9'!C16+'[1]бел.9'!C14</f>
        <v>51499.02225000001</v>
      </c>
      <c r="D68" s="151">
        <f>15550+5979-5936+21588+3597</f>
        <v>40778</v>
      </c>
      <c r="E68" s="237" t="s">
        <v>213</v>
      </c>
      <c r="F68" s="242" t="s">
        <v>214</v>
      </c>
      <c r="G68" s="152">
        <v>416.18813</v>
      </c>
      <c r="H68" s="152">
        <f>1068+52</f>
        <v>1120</v>
      </c>
    </row>
    <row r="69" spans="1:8" ht="15">
      <c r="A69" s="235" t="s">
        <v>215</v>
      </c>
      <c r="B69" s="241" t="s">
        <v>216</v>
      </c>
      <c r="C69" s="151">
        <f>'[1]бел.9'!C8</f>
        <v>12366.251119999999</v>
      </c>
      <c r="D69" s="151">
        <v>7020</v>
      </c>
      <c r="E69" s="251" t="s">
        <v>78</v>
      </c>
      <c r="F69" s="242" t="s">
        <v>217</v>
      </c>
      <c r="G69" s="152">
        <v>4221.92265</v>
      </c>
      <c r="H69" s="152">
        <f>1738+972</f>
        <v>2710</v>
      </c>
    </row>
    <row r="70" spans="1:8" ht="15">
      <c r="A70" s="235" t="s">
        <v>218</v>
      </c>
      <c r="B70" s="241" t="s">
        <v>219</v>
      </c>
      <c r="C70" s="151">
        <f>'[1]бел.7'!C34+'[1]бел.7'!C39+'[1]бел.7'!C40</f>
        <v>7454.39493</v>
      </c>
      <c r="D70" s="151">
        <f>7985-4953</f>
        <v>3032</v>
      </c>
      <c r="E70" s="237" t="s">
        <v>220</v>
      </c>
      <c r="F70" s="242" t="s">
        <v>221</v>
      </c>
      <c r="G70" s="152">
        <v>470</v>
      </c>
      <c r="H70" s="152">
        <v>220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89576.75442322</v>
      </c>
      <c r="H71" s="161">
        <f>H59+H60+H61+H69+H70</f>
        <v>91997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405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f>'[1]бел.9'!C9</f>
        <v>166.23691</v>
      </c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'[1]бел.7'!C31+'[1]бел.7'!C37+'[1]бел.7'!C36</f>
        <v>3877</v>
      </c>
      <c r="D74" s="151">
        <f>151+2477+1845</f>
        <v>4473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78747.87876</v>
      </c>
      <c r="D75" s="155">
        <f>SUM(D67:D74)</f>
        <v>63492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89576.75442322</v>
      </c>
      <c r="H79" s="162">
        <f>H71+H74+H75+H76</f>
        <v>91997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'[1]бел.10'!C7</f>
        <v>474.60781000000003</v>
      </c>
      <c r="D87" s="151">
        <v>693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'[1]бел.10'!C5-'[1]бел.10'!C10</f>
        <v>1057.20527</v>
      </c>
      <c r="D88" s="151">
        <v>3790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f>'[1]бел.10'!C10</f>
        <v>290</v>
      </c>
      <c r="D89" s="151">
        <v>474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1821.81308</v>
      </c>
      <c r="D91" s="155">
        <f>SUM(D87:D90)</f>
        <v>4957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86809.33909</v>
      </c>
      <c r="D93" s="155">
        <f>D64+D75+D84+D91+D92</f>
        <v>72445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149642.6833</v>
      </c>
      <c r="D94" s="164">
        <f>D93+D55</f>
        <v>149744</v>
      </c>
      <c r="E94" s="449" t="s">
        <v>270</v>
      </c>
      <c r="F94" s="289" t="s">
        <v>271</v>
      </c>
      <c r="G94" s="165">
        <f>G36+G39+G55+G79</f>
        <v>149642.59671</v>
      </c>
      <c r="H94" s="165">
        <f>H36+H39+H55+H79</f>
        <v>149744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0.08658999999170192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575"/>
      <c r="M97" s="157"/>
    </row>
    <row r="98" spans="1:13" ht="15">
      <c r="A98" s="45" t="s">
        <v>890</v>
      </c>
      <c r="B98" s="432"/>
      <c r="C98" s="599" t="s">
        <v>273</v>
      </c>
      <c r="D98" s="599"/>
      <c r="E98" s="59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9" t="s">
        <v>855</v>
      </c>
      <c r="D100" s="600"/>
      <c r="E100" s="600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R366"/>
  <sheetViews>
    <sheetView zoomScalePageLayoutView="0" workbookViewId="0" topLeftCell="A1">
      <selection activeCell="I6" sqref="I6:I7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4" t="str">
        <f>'справка №1-БАЛАНС'!E3</f>
        <v>"ЕНЕМОНА"АД, КОЗЛОДУЙ</v>
      </c>
      <c r="C2" s="604"/>
      <c r="D2" s="604"/>
      <c r="E2" s="604"/>
      <c r="F2" s="606" t="s">
        <v>2</v>
      </c>
      <c r="G2" s="606"/>
      <c r="H2" s="525" t="str">
        <f>'справка №1-БАЛАНС'!H3</f>
        <v>,020955078</v>
      </c>
    </row>
    <row r="3" spans="1:8" ht="15">
      <c r="A3" s="467" t="s">
        <v>275</v>
      </c>
      <c r="B3" s="604" t="str">
        <f>'справка №1-БАЛАНС'!E4</f>
        <v> НЕКОНСОЛИДИРАН</v>
      </c>
      <c r="C3" s="604"/>
      <c r="D3" s="604"/>
      <c r="E3" s="604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5" t="str">
        <f>'справка №1-БАЛАНС'!E5</f>
        <v>01.01.2012-31.12.2012 година</v>
      </c>
      <c r="C4" s="605"/>
      <c r="D4" s="605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11662</v>
      </c>
      <c r="D9" s="46">
        <v>31218</v>
      </c>
      <c r="E9" s="298" t="s">
        <v>285</v>
      </c>
      <c r="F9" s="548" t="s">
        <v>286</v>
      </c>
      <c r="G9" s="549">
        <v>65130</v>
      </c>
      <c r="H9" s="549">
        <v>78862</v>
      </c>
    </row>
    <row r="10" spans="1:8" ht="12">
      <c r="A10" s="298" t="s">
        <v>287</v>
      </c>
      <c r="B10" s="299" t="s">
        <v>288</v>
      </c>
      <c r="C10" s="46">
        <v>21556</v>
      </c>
      <c r="D10" s="46">
        <v>30069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1768</v>
      </c>
      <c r="D11" s="46">
        <v>1794</v>
      </c>
      <c r="E11" s="300" t="s">
        <v>293</v>
      </c>
      <c r="F11" s="548" t="s">
        <v>294</v>
      </c>
      <c r="G11" s="549">
        <v>322</v>
      </c>
      <c r="H11" s="549">
        <v>207</v>
      </c>
    </row>
    <row r="12" spans="1:8" ht="12">
      <c r="A12" s="298" t="s">
        <v>295</v>
      </c>
      <c r="B12" s="299" t="s">
        <v>296</v>
      </c>
      <c r="C12" s="46">
        <v>23273</v>
      </c>
      <c r="D12" s="46">
        <v>16992</v>
      </c>
      <c r="E12" s="300" t="s">
        <v>78</v>
      </c>
      <c r="F12" s="548" t="s">
        <v>297</v>
      </c>
      <c r="G12" s="549">
        <v>696</v>
      </c>
      <c r="H12" s="549"/>
    </row>
    <row r="13" spans="1:18" ht="12">
      <c r="A13" s="298" t="s">
        <v>298</v>
      </c>
      <c r="B13" s="299" t="s">
        <v>299</v>
      </c>
      <c r="C13" s="46">
        <v>2898</v>
      </c>
      <c r="D13" s="46">
        <v>2300</v>
      </c>
      <c r="E13" s="301" t="s">
        <v>51</v>
      </c>
      <c r="F13" s="550" t="s">
        <v>300</v>
      </c>
      <c r="G13" s="547">
        <f>SUM(G9:G12)</f>
        <v>66148</v>
      </c>
      <c r="H13" s="547">
        <f>SUM(H9:H12)</f>
        <v>79069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-167</v>
      </c>
      <c r="D15" s="47">
        <v>-290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4172</v>
      </c>
      <c r="D16" s="47">
        <f>3059+5024</f>
        <v>8083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65162</v>
      </c>
      <c r="D19" s="49">
        <f>SUM(D9:D15)+D16</f>
        <v>90166</v>
      </c>
      <c r="E19" s="304" t="s">
        <v>317</v>
      </c>
      <c r="F19" s="551" t="s">
        <v>318</v>
      </c>
      <c r="G19" s="549">
        <v>2567</v>
      </c>
      <c r="H19" s="549">
        <v>2206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3151</v>
      </c>
      <c r="H20" s="549">
        <v>536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2737</v>
      </c>
      <c r="D22" s="46">
        <v>3276</v>
      </c>
      <c r="E22" s="304" t="s">
        <v>326</v>
      </c>
      <c r="F22" s="551" t="s">
        <v>327</v>
      </c>
      <c r="G22" s="549">
        <v>17</v>
      </c>
      <c r="H22" s="549">
        <v>27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38</v>
      </c>
      <c r="D24" s="46">
        <v>55</v>
      </c>
      <c r="E24" s="301" t="s">
        <v>103</v>
      </c>
      <c r="F24" s="553" t="s">
        <v>334</v>
      </c>
      <c r="G24" s="547">
        <f>SUM(G19:G23)</f>
        <v>5735</v>
      </c>
      <c r="H24" s="547">
        <f>SUM(H19:H23)</f>
        <v>2769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2103</v>
      </c>
      <c r="D25" s="46">
        <f>1207+639+75</f>
        <v>1921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4878</v>
      </c>
      <c r="D26" s="49">
        <f>SUM(D22:D25)</f>
        <v>5252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70040</v>
      </c>
      <c r="D28" s="50">
        <f>D26+D19</f>
        <v>95418</v>
      </c>
      <c r="E28" s="127" t="s">
        <v>339</v>
      </c>
      <c r="F28" s="553" t="s">
        <v>340</v>
      </c>
      <c r="G28" s="547">
        <f>G13+G15+G24</f>
        <v>71883</v>
      </c>
      <c r="H28" s="547">
        <f>H13+H15+H24</f>
        <v>81838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1843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13580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70040</v>
      </c>
      <c r="D33" s="49">
        <f>D28+D31+D32</f>
        <v>95418</v>
      </c>
      <c r="E33" s="127" t="s">
        <v>353</v>
      </c>
      <c r="F33" s="553" t="s">
        <v>354</v>
      </c>
      <c r="G33" s="53">
        <f>G32+G31+G28</f>
        <v>71883</v>
      </c>
      <c r="H33" s="53">
        <f>H32+H31+H28</f>
        <v>81838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1843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13580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107</v>
      </c>
      <c r="D35" s="49">
        <f>D36+D37+D38</f>
        <v>-995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125</v>
      </c>
      <c r="D36" s="46">
        <f>D34*10%</f>
        <v>0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>
        <v>-18</v>
      </c>
      <c r="D37" s="46">
        <v>404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430">
        <v>-1399</v>
      </c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1736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12585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1736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12585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71883</v>
      </c>
      <c r="D42" s="53">
        <f>D33+D35+D39</f>
        <v>94423</v>
      </c>
      <c r="E42" s="128" t="s">
        <v>380</v>
      </c>
      <c r="F42" s="129" t="s">
        <v>381</v>
      </c>
      <c r="G42" s="53">
        <f>G39+G33</f>
        <v>71883</v>
      </c>
      <c r="H42" s="53">
        <f>H39+H33</f>
        <v>94423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7" t="s">
        <v>861</v>
      </c>
      <c r="B45" s="607"/>
      <c r="C45" s="607"/>
      <c r="D45" s="607"/>
      <c r="E45" s="60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41362</v>
      </c>
      <c r="C48" s="427" t="s">
        <v>382</v>
      </c>
      <c r="D48" s="602"/>
      <c r="E48" s="602"/>
      <c r="F48" s="602"/>
      <c r="G48" s="602"/>
      <c r="H48" s="60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3"/>
      <c r="E50" s="603"/>
      <c r="F50" s="603"/>
      <c r="G50" s="603"/>
      <c r="H50" s="603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02"/>
  <sheetViews>
    <sheetView zoomScalePageLayoutView="0" workbookViewId="0" topLeftCell="A22">
      <selection activeCell="C46" sqref="C46: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01.01.2012-31.12.2012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71657+17959</f>
        <v>89616</v>
      </c>
      <c r="D10" s="54">
        <v>91580</v>
      </c>
      <c r="E10" s="130"/>
      <c r="F10" s="130"/>
    </row>
    <row r="11" spans="1:13" ht="12.75">
      <c r="A11" s="332" t="s">
        <v>389</v>
      </c>
      <c r="B11" s="333" t="s">
        <v>390</v>
      </c>
      <c r="C11" s="591">
        <v>-61302</v>
      </c>
      <c r="D11" s="591">
        <v>-81321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1">
        <v>-25419</v>
      </c>
      <c r="D13" s="591">
        <v>-21454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1">
        <v>-2098</v>
      </c>
      <c r="D14" s="591">
        <v>-476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1">
        <v>-145</v>
      </c>
      <c r="D15" s="591">
        <v>-789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1">
        <f>-1644</f>
        <v>-1644</v>
      </c>
      <c r="D19" s="591">
        <v>-2651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-992</v>
      </c>
      <c r="D20" s="55">
        <f>SUM(D10:D19)</f>
        <v>-15111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1">
        <v>-228</v>
      </c>
      <c r="D22" s="591">
        <v>-615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1">
        <v>386</v>
      </c>
      <c r="D23" s="591">
        <v>2185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1">
        <v>-11775</v>
      </c>
      <c r="D24" s="591">
        <v>-6539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1">
        <v>7996</v>
      </c>
      <c r="D25" s="591">
        <v>8445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1">
        <v>-88</v>
      </c>
      <c r="D27" s="591">
        <v>-5597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1"/>
      <c r="D28" s="591">
        <v>10483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1">
        <v>2299</v>
      </c>
      <c r="D29" s="591">
        <v>1572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f>1553-46</f>
        <v>1507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97</v>
      </c>
      <c r="D32" s="55">
        <f>SUM(D22:D31)</f>
        <v>9934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1"/>
      <c r="D34" s="591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1">
        <v>83647</v>
      </c>
      <c r="D36" s="591">
        <v>48726</v>
      </c>
      <c r="E36" s="130"/>
      <c r="F36" s="130"/>
    </row>
    <row r="37" spans="1:6" ht="12.75">
      <c r="A37" s="332" t="s">
        <v>438</v>
      </c>
      <c r="B37" s="333" t="s">
        <v>439</v>
      </c>
      <c r="C37" s="592">
        <f>-81960+32</f>
        <v>-81928</v>
      </c>
      <c r="D37" s="592">
        <v>-37641</v>
      </c>
      <c r="E37" s="130"/>
      <c r="F37" s="130"/>
    </row>
    <row r="38" spans="1:6" ht="12.75">
      <c r="A38" s="332" t="s">
        <v>440</v>
      </c>
      <c r="B38" s="333" t="s">
        <v>441</v>
      </c>
      <c r="C38" s="591">
        <v>-478</v>
      </c>
      <c r="D38" s="591">
        <v>-595</v>
      </c>
      <c r="E38" s="130"/>
      <c r="F38" s="130"/>
    </row>
    <row r="39" spans="1:6" ht="12.75">
      <c r="A39" s="332" t="s">
        <v>442</v>
      </c>
      <c r="B39" s="333" t="s">
        <v>443</v>
      </c>
      <c r="C39" s="591">
        <v>-3531</v>
      </c>
      <c r="D39" s="591">
        <v>-3712</v>
      </c>
      <c r="E39" s="130"/>
      <c r="F39" s="130"/>
    </row>
    <row r="40" spans="1:6" ht="12.75">
      <c r="A40" s="332" t="s">
        <v>444</v>
      </c>
      <c r="B40" s="333" t="s">
        <v>445</v>
      </c>
      <c r="C40" s="591"/>
      <c r="D40" s="591">
        <v>-60</v>
      </c>
      <c r="E40" s="130"/>
      <c r="F40" s="130"/>
    </row>
    <row r="41" spans="1:8" ht="12">
      <c r="A41" s="332" t="s">
        <v>446</v>
      </c>
      <c r="B41" s="333" t="s">
        <v>447</v>
      </c>
      <c r="C41" s="54">
        <v>50</v>
      </c>
      <c r="D41" s="54">
        <f>-876+474</f>
        <v>-402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-2240</v>
      </c>
      <c r="D42" s="55">
        <f>SUM(D34:D41)</f>
        <v>6316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-3135</v>
      </c>
      <c r="D43" s="55">
        <f>D42+D32+D20</f>
        <v>1139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4957</v>
      </c>
      <c r="D44" s="132">
        <v>3818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1822</v>
      </c>
      <c r="D45" s="55">
        <f>D44+D43</f>
        <v>4957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C45-C47</f>
        <v>1532</v>
      </c>
      <c r="D46" s="56">
        <f>D45-D47</f>
        <v>4693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290</v>
      </c>
      <c r="D47" s="56">
        <v>264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8"/>
      <c r="D50" s="60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8"/>
      <c r="D52" s="60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W537"/>
  <sheetViews>
    <sheetView zoomScalePageLayoutView="0" workbookViewId="0" topLeftCell="A9">
      <selection activeCell="I31" sqref="I31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9" t="s">
        <v>460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11" t="str">
        <f>'справка №1-БАЛАНС'!E3</f>
        <v>"ЕНЕМОНА"АД, КОЗЛОДУЙ</v>
      </c>
      <c r="C3" s="611"/>
      <c r="D3" s="611"/>
      <c r="E3" s="611"/>
      <c r="F3" s="611"/>
      <c r="G3" s="611"/>
      <c r="H3" s="611"/>
      <c r="I3" s="611"/>
      <c r="J3" s="476"/>
      <c r="K3" s="613" t="s">
        <v>2</v>
      </c>
      <c r="L3" s="613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11" t="str">
        <f>'справка №1-БАЛАНС'!E4</f>
        <v> НЕКОНСОЛИДИРАН</v>
      </c>
      <c r="C4" s="611"/>
      <c r="D4" s="611"/>
      <c r="E4" s="611"/>
      <c r="F4" s="611"/>
      <c r="G4" s="611"/>
      <c r="H4" s="611"/>
      <c r="I4" s="611"/>
      <c r="J4" s="136"/>
      <c r="K4" s="614" t="s">
        <v>4</v>
      </c>
      <c r="L4" s="614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5" t="str">
        <f>'справка №1-БАЛАНС'!E5</f>
        <v>01.01.2012-31.12.2012 година</v>
      </c>
      <c r="C5" s="615"/>
      <c r="D5" s="615"/>
      <c r="E5" s="61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4688</v>
      </c>
      <c r="J11" s="58">
        <f>'справка №1-БАЛАНС'!H29+'справка №1-БАЛАНС'!H32</f>
        <v>-32211</v>
      </c>
      <c r="K11" s="60"/>
      <c r="L11" s="344">
        <f>SUM(C11:K11)</f>
        <v>50485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4688</v>
      </c>
      <c r="J15" s="61">
        <f t="shared" si="2"/>
        <v>-32211</v>
      </c>
      <c r="K15" s="61">
        <f t="shared" si="2"/>
        <v>0</v>
      </c>
      <c r="L15" s="344">
        <f t="shared" si="1"/>
        <v>50485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1736</v>
      </c>
      <c r="J16" s="345">
        <f>+'справка №1-БАЛАНС'!G32</f>
        <v>0</v>
      </c>
      <c r="K16" s="60"/>
      <c r="L16" s="344">
        <f t="shared" si="1"/>
        <v>1736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-27523</v>
      </c>
      <c r="E20" s="60"/>
      <c r="F20" s="60"/>
      <c r="G20" s="60"/>
      <c r="H20" s="60"/>
      <c r="I20" s="60"/>
      <c r="J20" s="60">
        <v>27523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6424</v>
      </c>
      <c r="J29" s="59">
        <f t="shared" si="6"/>
        <v>-4688</v>
      </c>
      <c r="K29" s="59">
        <f t="shared" si="6"/>
        <v>0</v>
      </c>
      <c r="L29" s="344">
        <f t="shared" si="1"/>
        <v>52221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6424</v>
      </c>
      <c r="J32" s="59">
        <f t="shared" si="7"/>
        <v>-4688</v>
      </c>
      <c r="K32" s="59">
        <f t="shared" si="7"/>
        <v>0</v>
      </c>
      <c r="L32" s="344">
        <f t="shared" si="1"/>
        <v>52221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2" t="s">
        <v>862</v>
      </c>
      <c r="B35" s="612"/>
      <c r="C35" s="612"/>
      <c r="D35" s="612"/>
      <c r="E35" s="612"/>
      <c r="F35" s="612"/>
      <c r="G35" s="612"/>
      <c r="H35" s="612"/>
      <c r="I35" s="612"/>
      <c r="J35" s="61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889</v>
      </c>
      <c r="B38" s="19"/>
      <c r="C38" s="15"/>
      <c r="D38" s="610" t="s">
        <v>522</v>
      </c>
      <c r="E38" s="610"/>
      <c r="F38" s="610"/>
      <c r="G38" s="610"/>
      <c r="H38" s="610"/>
      <c r="I38" s="610"/>
      <c r="J38" s="15" t="s">
        <v>857</v>
      </c>
      <c r="K38" s="15"/>
      <c r="L38" s="610"/>
      <c r="M38" s="61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232"/>
  <sheetViews>
    <sheetView tabSelected="1" zoomScalePageLayoutView="0" workbookViewId="0" topLeftCell="D5">
      <selection activeCell="R15" sqref="R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2" t="s">
        <v>384</v>
      </c>
      <c r="B2" s="623"/>
      <c r="C2" s="624" t="str">
        <f>'справка №1-БАЛАНС'!E3</f>
        <v>"ЕНЕМОНА"АД, КОЗЛОДУЙ</v>
      </c>
      <c r="D2" s="624"/>
      <c r="E2" s="624"/>
      <c r="F2" s="624"/>
      <c r="G2" s="624"/>
      <c r="H2" s="624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2" t="s">
        <v>5</v>
      </c>
      <c r="B3" s="623"/>
      <c r="C3" s="625" t="str">
        <f>'справка №1-БАЛАНС'!E5</f>
        <v>01.01.2012-31.12.2012 година</v>
      </c>
      <c r="D3" s="625"/>
      <c r="E3" s="625"/>
      <c r="F3" s="485"/>
      <c r="G3" s="485"/>
      <c r="H3" s="485"/>
      <c r="I3" s="485"/>
      <c r="J3" s="485"/>
      <c r="K3" s="485"/>
      <c r="L3" s="485"/>
      <c r="M3" s="628" t="s">
        <v>4</v>
      </c>
      <c r="N3" s="628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6" t="s">
        <v>464</v>
      </c>
      <c r="B5" s="617"/>
      <c r="C5" s="62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6" t="s">
        <v>530</v>
      </c>
      <c r="R5" s="626" t="s">
        <v>531</v>
      </c>
    </row>
    <row r="6" spans="1:18" s="100" customFormat="1" ht="48">
      <c r="A6" s="618"/>
      <c r="B6" s="619"/>
      <c r="C6" s="62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7"/>
      <c r="R6" s="62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f>'[1]бел.4'!C16</f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f>'[1]бел.4'!D16</f>
        <v>20014</v>
      </c>
      <c r="E10" s="189">
        <f>'[1]бел.4'!D17</f>
        <v>2268.1760600000002</v>
      </c>
      <c r="F10" s="189">
        <f>-'[1]бел.4'!D23</f>
        <v>568.24161</v>
      </c>
      <c r="G10" s="74">
        <f aca="true" t="shared" si="3" ref="G10:G39">D10+E10-F10</f>
        <v>21713.93445</v>
      </c>
      <c r="H10" s="65"/>
      <c r="I10" s="65"/>
      <c r="J10" s="74">
        <f t="shared" si="0"/>
        <v>21713.93445</v>
      </c>
      <c r="K10" s="65">
        <v>2207</v>
      </c>
      <c r="L10" s="65">
        <f>'[1]бел.4'!D35</f>
        <v>432.52110999999996</v>
      </c>
      <c r="M10" s="65">
        <f>-'[1]бел.4'!D36</f>
        <v>176.78548</v>
      </c>
      <c r="N10" s="74">
        <f aca="true" t="shared" si="4" ref="N10:N39">K10+L10-M10</f>
        <v>2462.73563</v>
      </c>
      <c r="O10" s="65"/>
      <c r="P10" s="65"/>
      <c r="Q10" s="74">
        <f t="shared" si="1"/>
        <v>2462.73563</v>
      </c>
      <c r="R10" s="74">
        <f t="shared" si="2"/>
        <v>19251.19882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f>'[1]бел.4'!E16</f>
        <v>4234</v>
      </c>
      <c r="E11" s="189">
        <f>'[1]бел.4'!E17</f>
        <v>202.21509</v>
      </c>
      <c r="F11" s="189">
        <f>-'[1]бел.4'!E23</f>
        <v>260.46815</v>
      </c>
      <c r="G11" s="74">
        <f t="shared" si="3"/>
        <v>4175.74694</v>
      </c>
      <c r="H11" s="65"/>
      <c r="I11" s="65"/>
      <c r="J11" s="74">
        <f t="shared" si="0"/>
        <v>4175.74694</v>
      </c>
      <c r="K11" s="65">
        <v>3140</v>
      </c>
      <c r="L11" s="65">
        <f>'[1]бел.4'!E35</f>
        <v>489.72323</v>
      </c>
      <c r="M11" s="65">
        <f>-'[1]бел.4'!E36</f>
        <v>230.52864000000002</v>
      </c>
      <c r="N11" s="74">
        <f t="shared" si="4"/>
        <v>3399.19459</v>
      </c>
      <c r="O11" s="65"/>
      <c r="P11" s="65"/>
      <c r="Q11" s="74">
        <f t="shared" si="1"/>
        <v>3399.19459</v>
      </c>
      <c r="R11" s="74">
        <f t="shared" si="2"/>
        <v>776.5523499999999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f>'[1]бел.4'!F16</f>
        <v>6578</v>
      </c>
      <c r="E13" s="189">
        <f>'[1]бел.4'!F17</f>
        <v>47.512</v>
      </c>
      <c r="F13" s="189">
        <f>-'[1]бел.4'!F23</f>
        <v>376.46161</v>
      </c>
      <c r="G13" s="74">
        <f t="shared" si="3"/>
        <v>6249.050389999999</v>
      </c>
      <c r="H13" s="65"/>
      <c r="I13" s="65"/>
      <c r="J13" s="74">
        <f t="shared" si="0"/>
        <v>6249.050389999999</v>
      </c>
      <c r="K13" s="65">
        <v>2497</v>
      </c>
      <c r="L13" s="65">
        <f>'[1]бел.4'!F35</f>
        <v>468.82326</v>
      </c>
      <c r="M13" s="65">
        <f>-'[1]бел.4'!F36</f>
        <v>280.49702</v>
      </c>
      <c r="N13" s="74">
        <f t="shared" si="4"/>
        <v>2685.3262400000003</v>
      </c>
      <c r="O13" s="65"/>
      <c r="P13" s="65"/>
      <c r="Q13" s="74">
        <f t="shared" si="1"/>
        <v>2685.3262400000003</v>
      </c>
      <c r="R13" s="74">
        <f t="shared" si="2"/>
        <v>3563.724149999999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f>'[1]бел.4'!M11+1</f>
        <v>635.43888</v>
      </c>
      <c r="E14" s="189">
        <f>'[1]бел.4'!N11</f>
        <v>4.08542</v>
      </c>
      <c r="F14" s="189">
        <f>'[1]бел.4'!O11</f>
        <v>13.40622</v>
      </c>
      <c r="G14" s="74">
        <f t="shared" si="3"/>
        <v>626.1180800000001</v>
      </c>
      <c r="H14" s="65"/>
      <c r="I14" s="65"/>
      <c r="J14" s="74">
        <f t="shared" si="0"/>
        <v>626.1180800000001</v>
      </c>
      <c r="K14" s="65">
        <v>327</v>
      </c>
      <c r="L14" s="65">
        <f>'[1]бел.4'!M25</f>
        <v>49.59015</v>
      </c>
      <c r="M14" s="65">
        <v>17</v>
      </c>
      <c r="N14" s="74">
        <f t="shared" si="4"/>
        <v>359.59015</v>
      </c>
      <c r="O14" s="65"/>
      <c r="P14" s="65"/>
      <c r="Q14" s="74">
        <f t="shared" si="1"/>
        <v>359.59015</v>
      </c>
      <c r="R14" s="74">
        <f t="shared" si="2"/>
        <v>266.5279300000001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f>'[1]бел.4'!H16</f>
        <v>5693</v>
      </c>
      <c r="E15" s="457"/>
      <c r="F15" s="457">
        <f>-'[1]бел.4'!H23</f>
        <v>10.318</v>
      </c>
      <c r="G15" s="74">
        <f t="shared" si="3"/>
        <v>5682.682</v>
      </c>
      <c r="H15" s="458"/>
      <c r="I15" s="458"/>
      <c r="J15" s="74">
        <f t="shared" si="0"/>
        <v>5682.682</v>
      </c>
      <c r="K15" s="458">
        <v>24</v>
      </c>
      <c r="L15" s="458"/>
      <c r="M15" s="458"/>
      <c r="N15" s="74">
        <f t="shared" si="4"/>
        <v>24</v>
      </c>
      <c r="O15" s="458"/>
      <c r="P15" s="458"/>
      <c r="Q15" s="74">
        <f t="shared" si="1"/>
        <v>24</v>
      </c>
      <c r="R15" s="74">
        <f t="shared" si="2"/>
        <v>5658.682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2111</v>
      </c>
      <c r="E16" s="189">
        <f>'[1]бел.4'!G17-'[1]Приложение 5'!E14</f>
        <v>121.71270999999999</v>
      </c>
      <c r="F16" s="189">
        <f>-'[1]бел.4'!G23-F14</f>
        <v>198.76729</v>
      </c>
      <c r="G16" s="74">
        <f t="shared" si="3"/>
        <v>2033.9454199999998</v>
      </c>
      <c r="H16" s="65"/>
      <c r="I16" s="65"/>
      <c r="J16" s="74">
        <f t="shared" si="0"/>
        <v>2033.9454199999998</v>
      </c>
      <c r="K16" s="65">
        <v>1295</v>
      </c>
      <c r="L16" s="65">
        <f>'[1]бел.4'!G35-'[1]Приложение 5'!L14</f>
        <v>238.40024</v>
      </c>
      <c r="M16" s="65">
        <f>-'[1]бел.4'!G36-M14</f>
        <v>118.10907</v>
      </c>
      <c r="N16" s="74">
        <f t="shared" si="4"/>
        <v>1415.29117</v>
      </c>
      <c r="O16" s="65"/>
      <c r="P16" s="65">
        <v>11</v>
      </c>
      <c r="Q16" s="74">
        <f aca="true" t="shared" si="5" ref="Q16:Q25">N16+O16-P16</f>
        <v>1404.29117</v>
      </c>
      <c r="R16" s="74">
        <f aca="true" t="shared" si="6" ref="R16:R25">J16-Q16</f>
        <v>629.6542499999998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44873.43888</v>
      </c>
      <c r="E17" s="194">
        <f>SUM(E9:E16)</f>
        <v>2643.70128</v>
      </c>
      <c r="F17" s="194">
        <f>SUM(F9:F16)</f>
        <v>1427.66288</v>
      </c>
      <c r="G17" s="74">
        <f t="shared" si="3"/>
        <v>46089.47728</v>
      </c>
      <c r="H17" s="75">
        <f>SUM(H9:H16)</f>
        <v>0</v>
      </c>
      <c r="I17" s="75">
        <f>SUM(I9:I16)</f>
        <v>0</v>
      </c>
      <c r="J17" s="74">
        <f t="shared" si="0"/>
        <v>46089.47728</v>
      </c>
      <c r="K17" s="75">
        <f>SUM(K9:K16)</f>
        <v>9490</v>
      </c>
      <c r="L17" s="75">
        <f>SUM(L9:L16)</f>
        <v>1679.0579899999998</v>
      </c>
      <c r="M17" s="75">
        <f>SUM(M9:M16)</f>
        <v>822.92021</v>
      </c>
      <c r="N17" s="74">
        <f t="shared" si="4"/>
        <v>10346.13778</v>
      </c>
      <c r="O17" s="75">
        <f>SUM(O9:O16)</f>
        <v>0</v>
      </c>
      <c r="P17" s="75">
        <f>SUM(P9:P16)</f>
        <v>11</v>
      </c>
      <c r="Q17" s="74">
        <f t="shared" si="5"/>
        <v>10335.13778</v>
      </c>
      <c r="R17" s="74">
        <f t="shared" si="6"/>
        <v>35754.3395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827</v>
      </c>
      <c r="L21" s="65">
        <v>62</v>
      </c>
      <c r="M21" s="65"/>
      <c r="N21" s="74">
        <f t="shared" si="4"/>
        <v>889</v>
      </c>
      <c r="O21" s="65"/>
      <c r="P21" s="65"/>
      <c r="Q21" s="74">
        <f t="shared" si="5"/>
        <v>889</v>
      </c>
      <c r="R21" s="74">
        <f t="shared" si="6"/>
        <v>557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270</v>
      </c>
      <c r="E22" s="189">
        <v>13</v>
      </c>
      <c r="F22" s="189">
        <v>25</v>
      </c>
      <c r="G22" s="74">
        <f t="shared" si="3"/>
        <v>258</v>
      </c>
      <c r="H22" s="65"/>
      <c r="I22" s="65"/>
      <c r="J22" s="74">
        <f t="shared" si="0"/>
        <v>258</v>
      </c>
      <c r="K22" s="65">
        <v>202</v>
      </c>
      <c r="L22" s="65">
        <v>27</v>
      </c>
      <c r="M22" s="65">
        <v>25</v>
      </c>
      <c r="N22" s="74">
        <f t="shared" si="4"/>
        <v>204</v>
      </c>
      <c r="O22" s="65"/>
      <c r="P22" s="65"/>
      <c r="Q22" s="74">
        <f t="shared" si="5"/>
        <v>204</v>
      </c>
      <c r="R22" s="74">
        <f t="shared" si="6"/>
        <v>54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1716</v>
      </c>
      <c r="E25" s="190">
        <f aca="true" t="shared" si="7" ref="E25:P25">SUM(E21:E24)</f>
        <v>13</v>
      </c>
      <c r="F25" s="190">
        <f t="shared" si="7"/>
        <v>25</v>
      </c>
      <c r="G25" s="67">
        <f t="shared" si="3"/>
        <v>1704</v>
      </c>
      <c r="H25" s="66">
        <f t="shared" si="7"/>
        <v>0</v>
      </c>
      <c r="I25" s="66">
        <f t="shared" si="7"/>
        <v>0</v>
      </c>
      <c r="J25" s="67">
        <f t="shared" si="0"/>
        <v>1704</v>
      </c>
      <c r="K25" s="66">
        <f t="shared" si="7"/>
        <v>1029</v>
      </c>
      <c r="L25" s="66">
        <f t="shared" si="7"/>
        <v>89</v>
      </c>
      <c r="M25" s="66">
        <f t="shared" si="7"/>
        <v>25</v>
      </c>
      <c r="N25" s="67">
        <f t="shared" si="4"/>
        <v>1093</v>
      </c>
      <c r="O25" s="66">
        <f t="shared" si="7"/>
        <v>0</v>
      </c>
      <c r="P25" s="66">
        <f t="shared" si="7"/>
        <v>0</v>
      </c>
      <c r="Q25" s="67">
        <f t="shared" si="5"/>
        <v>1093</v>
      </c>
      <c r="R25" s="67">
        <f t="shared" si="6"/>
        <v>611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19434</v>
      </c>
      <c r="E27" s="192">
        <f aca="true" t="shared" si="8" ref="E27:P27">SUM(E28:E31)</f>
        <v>88</v>
      </c>
      <c r="F27" s="192">
        <f t="shared" si="8"/>
        <v>2300</v>
      </c>
      <c r="G27" s="71">
        <f t="shared" si="3"/>
        <v>17222</v>
      </c>
      <c r="H27" s="70">
        <f t="shared" si="8"/>
        <v>0</v>
      </c>
      <c r="I27" s="70">
        <f t="shared" si="8"/>
        <v>2412</v>
      </c>
      <c r="J27" s="71">
        <f aca="true" t="shared" si="9" ref="J27:J39">G27+H27-I27</f>
        <v>14810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14810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19430</v>
      </c>
      <c r="E28" s="189">
        <f>53+30+5</f>
        <v>88</v>
      </c>
      <c r="F28" s="189">
        <f>200+50+2050</f>
        <v>2300</v>
      </c>
      <c r="G28" s="74">
        <f t="shared" si="3"/>
        <v>17218</v>
      </c>
      <c r="H28" s="65"/>
      <c r="I28" s="65">
        <v>2412</v>
      </c>
      <c r="J28" s="74">
        <f t="shared" si="9"/>
        <v>14806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14806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19434</v>
      </c>
      <c r="E38" s="194">
        <f aca="true" t="shared" si="13" ref="E38:P38">E27+E32+E37</f>
        <v>88</v>
      </c>
      <c r="F38" s="194">
        <f t="shared" si="13"/>
        <v>2300</v>
      </c>
      <c r="G38" s="74">
        <f t="shared" si="3"/>
        <v>17222</v>
      </c>
      <c r="H38" s="75">
        <f t="shared" si="13"/>
        <v>0</v>
      </c>
      <c r="I38" s="75">
        <f t="shared" si="13"/>
        <v>2412</v>
      </c>
      <c r="J38" s="74">
        <f t="shared" si="9"/>
        <v>14810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14810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66023.43888</v>
      </c>
      <c r="E40" s="438">
        <f>E17+E18+E19+E25+E38+E39</f>
        <v>2744.70128</v>
      </c>
      <c r="F40" s="438">
        <f aca="true" t="shared" si="14" ref="F40:R40">F17+F18+F19+F25+F38+F39</f>
        <v>3752.66288</v>
      </c>
      <c r="G40" s="438">
        <f t="shared" si="14"/>
        <v>65015.47728</v>
      </c>
      <c r="H40" s="438">
        <f t="shared" si="14"/>
        <v>0</v>
      </c>
      <c r="I40" s="438">
        <f t="shared" si="14"/>
        <v>2412</v>
      </c>
      <c r="J40" s="438">
        <f t="shared" si="14"/>
        <v>62603.47728</v>
      </c>
      <c r="K40" s="438">
        <f t="shared" si="14"/>
        <v>10519</v>
      </c>
      <c r="L40" s="438">
        <f t="shared" si="14"/>
        <v>1768.0579899999998</v>
      </c>
      <c r="M40" s="438">
        <f t="shared" si="14"/>
        <v>847.92021</v>
      </c>
      <c r="N40" s="438">
        <f t="shared" si="14"/>
        <v>11439.13778</v>
      </c>
      <c r="O40" s="438">
        <f t="shared" si="14"/>
        <v>0</v>
      </c>
      <c r="P40" s="438">
        <f t="shared" si="14"/>
        <v>11</v>
      </c>
      <c r="Q40" s="438">
        <f t="shared" si="14"/>
        <v>11428.13778</v>
      </c>
      <c r="R40" s="438">
        <f t="shared" si="14"/>
        <v>51175.3395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9"/>
      <c r="L44" s="629"/>
      <c r="M44" s="629"/>
      <c r="N44" s="629"/>
      <c r="O44" s="630" t="s">
        <v>782</v>
      </c>
      <c r="P44" s="631"/>
      <c r="Q44" s="631"/>
      <c r="R44" s="63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AA115"/>
  <sheetViews>
    <sheetView zoomScalePageLayoutView="0" workbookViewId="0" topLeftCell="A43">
      <selection activeCell="C56" sqref="C5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5" t="s">
        <v>610</v>
      </c>
      <c r="B1" s="635"/>
      <c r="C1" s="635"/>
      <c r="D1" s="635"/>
      <c r="E1" s="63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8" t="str">
        <f>'справка №1-БАЛАНС'!E3</f>
        <v>"ЕНЕМОНА"АД, КОЗЛОДУЙ</v>
      </c>
      <c r="C3" s="639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6" t="str">
        <f>'справка №1-БАЛАНС'!E5</f>
        <v>01.01.2012-31.12.2012 година</v>
      </c>
      <c r="C4" s="637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474.63044</v>
      </c>
      <c r="D15" s="108"/>
      <c r="E15" s="120">
        <f t="shared" si="0"/>
        <v>474.63044</v>
      </c>
      <c r="F15" s="106"/>
    </row>
    <row r="16" spans="1:15" ht="12">
      <c r="A16" s="396" t="s">
        <v>630</v>
      </c>
      <c r="B16" s="397" t="s">
        <v>631</v>
      </c>
      <c r="C16" s="119">
        <f>+C17+C18</f>
        <v>8605.995999999997</v>
      </c>
      <c r="D16" s="119">
        <f>+D17+D18</f>
        <v>0</v>
      </c>
      <c r="E16" s="120">
        <f t="shared" si="0"/>
        <v>8605.995999999997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8605.995999999997</v>
      </c>
      <c r="D18" s="108"/>
      <c r="E18" s="120">
        <f t="shared" si="0"/>
        <v>8605.995999999997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9080.626439999998</v>
      </c>
      <c r="D19" s="104">
        <f>D11+D15+D16</f>
        <v>0</v>
      </c>
      <c r="E19" s="118">
        <f>E11+E15+E16</f>
        <v>9080.626439999998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2579</v>
      </c>
      <c r="D21" s="108"/>
      <c r="E21" s="120">
        <f t="shared" si="0"/>
        <v>2579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2979.9735499999992</v>
      </c>
      <c r="D24" s="119">
        <f>SUM(D25:D27)</f>
        <v>525.9735499999992</v>
      </c>
      <c r="E24" s="120">
        <f>SUM(E25:E27)</f>
        <v>2454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325</v>
      </c>
      <c r="D25" s="108">
        <f>C25</f>
        <v>325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'справка №1-БАЛАНС'!C67-C25-C27</f>
        <v>200.97354999999925</v>
      </c>
      <c r="D26" s="108">
        <f>C26</f>
        <v>200.97354999999925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2454</v>
      </c>
      <c r="D27" s="108"/>
      <c r="E27" s="120">
        <f t="shared" si="0"/>
        <v>2454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51499.02225000001</v>
      </c>
      <c r="D28" s="108">
        <f>C28</f>
        <v>51499.02225000001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12366.251119999999</v>
      </c>
      <c r="D29" s="108">
        <f>C29</f>
        <v>12366.251119999999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7454.39493</v>
      </c>
      <c r="D30" s="108">
        <f>C30</f>
        <v>7454.39493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405</v>
      </c>
      <c r="D33" s="105">
        <f>SUM(D34:D37)</f>
        <v>405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405</v>
      </c>
      <c r="D37" s="108">
        <f>C37</f>
        <v>405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4043.23691</v>
      </c>
      <c r="D38" s="105">
        <f>SUM(D39:D42)</f>
        <v>4043.23691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№1-БАЛАНС'!C74+'справка №1-БАЛАНС'!C73</f>
        <v>4043.23691</v>
      </c>
      <c r="D42" s="108">
        <f>C42</f>
        <v>4043.23691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78747.87876</v>
      </c>
      <c r="D43" s="104">
        <f>D24+D28+D29+D31+D30+D32+D33+D38</f>
        <v>76293.87876000002</v>
      </c>
      <c r="E43" s="118">
        <f>E24+E28+E29+E31+E30+E32+E33+E38</f>
        <v>2454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90407.5052</v>
      </c>
      <c r="D44" s="103">
        <f>D43+D21+D19+D9</f>
        <v>76293.87876000002</v>
      </c>
      <c r="E44" s="118">
        <f>E43+E21+E19+E9</f>
        <v>14113.626439999998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4297.48476678</v>
      </c>
      <c r="D56" s="103">
        <f>D57+D59</f>
        <v>0</v>
      </c>
      <c r="E56" s="119">
        <f t="shared" si="1"/>
        <v>4297.48476678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4297.48476678</v>
      </c>
      <c r="D57" s="108"/>
      <c r="E57" s="119">
        <f t="shared" si="1"/>
        <v>4297.48476678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34.31099</v>
      </c>
      <c r="D62" s="108"/>
      <c r="E62" s="119">
        <f t="shared" si="1"/>
        <v>34.31099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3513.0465299999996</v>
      </c>
      <c r="D64" s="108"/>
      <c r="E64" s="119">
        <f t="shared" si="1"/>
        <v>3513.0465299999996</v>
      </c>
      <c r="F64" s="110"/>
    </row>
    <row r="65" spans="1:6" ht="12">
      <c r="A65" s="396" t="s">
        <v>710</v>
      </c>
      <c r="B65" s="397" t="s">
        <v>711</v>
      </c>
      <c r="C65" s="109">
        <v>458</v>
      </c>
      <c r="D65" s="109"/>
      <c r="E65" s="119">
        <f t="shared" si="1"/>
        <v>458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7844.84228678</v>
      </c>
      <c r="D66" s="103">
        <f>D52+D56+D61+D62+D63+D64</f>
        <v>0</v>
      </c>
      <c r="E66" s="119">
        <f t="shared" si="1"/>
        <v>7844.84228678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2553.6371399999994</v>
      </c>
      <c r="D71" s="105">
        <f>SUM(D72:D74)</f>
        <v>2553.6371399999994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2553.6371399999994</v>
      </c>
      <c r="D72" s="108">
        <f>C72</f>
        <v>2553.6371399999994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64123.588063220006</v>
      </c>
      <c r="D75" s="103">
        <f>D76+D78</f>
        <v>64123.588063220006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64123.588063220006</v>
      </c>
      <c r="D76" s="108">
        <f>C76</f>
        <v>64123.588063220006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444</v>
      </c>
      <c r="D80" s="103">
        <f>SUM(D81:D84)</f>
        <v>444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444</v>
      </c>
      <c r="D84" s="108">
        <f>C84</f>
        <v>444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17763.606569999996</v>
      </c>
      <c r="D85" s="104">
        <f>SUM(D86:D90)+D94</f>
        <v>17763.606569999996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1559.4550900000002</v>
      </c>
      <c r="D86" s="108">
        <f>C86</f>
        <v>1559.4550900000002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7297.399439999997</v>
      </c>
      <c r="D87" s="108">
        <f>C87</f>
        <v>7297.399439999997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5743</v>
      </c>
      <c r="D88" s="108">
        <f>C88</f>
        <v>5743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1512.62551</v>
      </c>
      <c r="D89" s="108">
        <f>C89</f>
        <v>1512.62551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416.18813</v>
      </c>
      <c r="D90" s="103">
        <f>SUM(D91:D93)</f>
        <v>416.18813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416.18813</v>
      </c>
      <c r="D92" s="108">
        <f>C92</f>
        <v>416.18813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1234.9384</v>
      </c>
      <c r="D94" s="108">
        <f>C94</f>
        <v>1234.9384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4691.92265</v>
      </c>
      <c r="D95" s="108">
        <f>C95</f>
        <v>4691.92265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89576.75442322</v>
      </c>
      <c r="D96" s="104">
        <f>D85+D80+D75+D71+D95</f>
        <v>89576.75442322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97421.59671</v>
      </c>
      <c r="D97" s="104">
        <f>D96+D68+D66</f>
        <v>89576.75442322</v>
      </c>
      <c r="E97" s="104">
        <f>E96+E68+E66</f>
        <v>7844.84228678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36373</v>
      </c>
      <c r="D104" s="108">
        <v>414</v>
      </c>
      <c r="E104" s="108">
        <f>1589+57+58</f>
        <v>1704</v>
      </c>
      <c r="F104" s="125">
        <f>C104+D104-E104</f>
        <v>35083</v>
      </c>
    </row>
    <row r="105" spans="1:16" ht="12">
      <c r="A105" s="412" t="s">
        <v>778</v>
      </c>
      <c r="B105" s="395" t="s">
        <v>779</v>
      </c>
      <c r="C105" s="103">
        <f>SUM(C102:C104)</f>
        <v>36373</v>
      </c>
      <c r="D105" s="103">
        <f>SUM(D102:D104)</f>
        <v>414</v>
      </c>
      <c r="E105" s="103">
        <f>SUM(E102:E104)</f>
        <v>1704</v>
      </c>
      <c r="F105" s="103">
        <f>SUM(F102:F104)</f>
        <v>35083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4" t="s">
        <v>781</v>
      </c>
      <c r="B107" s="634"/>
      <c r="C107" s="634"/>
      <c r="D107" s="634"/>
      <c r="E107" s="634"/>
      <c r="F107" s="63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3" t="s">
        <v>890</v>
      </c>
      <c r="B109" s="633"/>
      <c r="C109" s="633" t="s">
        <v>382</v>
      </c>
      <c r="D109" s="633"/>
      <c r="E109" s="633"/>
      <c r="F109" s="63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2" t="s">
        <v>782</v>
      </c>
      <c r="D111" s="632"/>
      <c r="E111" s="632"/>
      <c r="F111" s="63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40" t="str">
        <f>'справка №1-БАЛАНС'!E3</f>
        <v>"ЕНЕМОНА"АД, КОЗЛОДУЙ</v>
      </c>
      <c r="C4" s="640"/>
      <c r="D4" s="640"/>
      <c r="E4" s="640"/>
      <c r="F4" s="640"/>
      <c r="G4" s="646" t="s">
        <v>2</v>
      </c>
      <c r="H4" s="646"/>
      <c r="I4" s="500" t="str">
        <f>'справка №1-БАЛАНС'!H3</f>
        <v>,020955078</v>
      </c>
    </row>
    <row r="5" spans="1:9" ht="15">
      <c r="A5" s="501" t="s">
        <v>5</v>
      </c>
      <c r="B5" s="641" t="str">
        <f>'справка №1-БАЛАНС'!E5</f>
        <v>01.01.2012-31.12.2012 година</v>
      </c>
      <c r="C5" s="641"/>
      <c r="D5" s="641"/>
      <c r="E5" s="641"/>
      <c r="F5" s="641"/>
      <c r="G5" s="644" t="s">
        <v>4</v>
      </c>
      <c r="H5" s="645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f>'справка №5'!J28</f>
        <v>14806</v>
      </c>
      <c r="G12" s="98"/>
      <c r="H12" s="98"/>
      <c r="I12" s="434">
        <f>F12+G12-H12</f>
        <v>14806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14810</v>
      </c>
      <c r="G17" s="85">
        <f t="shared" si="1"/>
        <v>0</v>
      </c>
      <c r="H17" s="85">
        <f t="shared" si="1"/>
        <v>0</v>
      </c>
      <c r="I17" s="434">
        <f t="shared" si="0"/>
        <v>14810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890</v>
      </c>
      <c r="B30" s="643"/>
      <c r="C30" s="643"/>
      <c r="D30" s="459" t="s">
        <v>818</v>
      </c>
      <c r="E30" s="642"/>
      <c r="F30" s="642"/>
      <c r="G30" s="642"/>
      <c r="H30" s="420" t="s">
        <v>782</v>
      </c>
      <c r="I30" s="642"/>
      <c r="J30" s="64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P155"/>
  <sheetViews>
    <sheetView zoomScalePageLayoutView="0" workbookViewId="0" topLeftCell="A25">
      <selection activeCell="C12" sqref="C12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7" t="str">
        <f>'справка №1-БАЛАНС'!E3</f>
        <v>"ЕНЕМОНА"АД, КОЗЛОДУЙ</v>
      </c>
      <c r="C5" s="647"/>
      <c r="D5" s="647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8" t="str">
        <f>'справка №1-БАЛАНС'!E5</f>
        <v>01.01.2012-31.12.2012 година</v>
      </c>
      <c r="C6" s="648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/>
      <c r="D12" s="587"/>
      <c r="E12" s="441"/>
      <c r="F12" s="443">
        <f>C12-E12</f>
        <v>0</v>
      </c>
    </row>
    <row r="13" spans="1:7" ht="12.75">
      <c r="A13" s="36" t="s">
        <v>868</v>
      </c>
      <c r="B13" s="37"/>
      <c r="C13" s="441">
        <v>1719</v>
      </c>
      <c r="D13" s="587">
        <v>97.24</v>
      </c>
      <c r="E13" s="441"/>
      <c r="F13" s="443">
        <f aca="true" t="shared" si="0" ref="F13:F27">C13-E13</f>
        <v>1719</v>
      </c>
      <c r="G13" s="593"/>
    </row>
    <row r="14" spans="1:7" ht="12.75">
      <c r="A14" s="36" t="s">
        <v>869</v>
      </c>
      <c r="B14" s="37"/>
      <c r="C14" s="441">
        <v>4860</v>
      </c>
      <c r="D14" s="587">
        <v>88.97</v>
      </c>
      <c r="E14" s="441"/>
      <c r="F14" s="443">
        <f t="shared" si="0"/>
        <v>4860</v>
      </c>
      <c r="G14" s="593"/>
    </row>
    <row r="15" spans="1:7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  <c r="G15" s="593"/>
    </row>
    <row r="16" spans="1:7" ht="12.75">
      <c r="A16" s="36" t="s">
        <v>886</v>
      </c>
      <c r="B16" s="37"/>
      <c r="C16" s="441">
        <v>1800</v>
      </c>
      <c r="D16" s="587">
        <v>90</v>
      </c>
      <c r="E16" s="441"/>
      <c r="F16" s="443">
        <f t="shared" si="0"/>
        <v>1800</v>
      </c>
      <c r="G16" s="593"/>
    </row>
    <row r="17" spans="1:7" ht="12.75">
      <c r="A17" s="36" t="s">
        <v>872</v>
      </c>
      <c r="B17" s="37"/>
      <c r="C17" s="441">
        <v>0</v>
      </c>
      <c r="D17" s="587"/>
      <c r="E17" s="441"/>
      <c r="F17" s="443">
        <f t="shared" si="0"/>
        <v>0</v>
      </c>
      <c r="G17" s="593"/>
    </row>
    <row r="18" spans="1:7" ht="12.75">
      <c r="A18" s="36" t="s">
        <v>873</v>
      </c>
      <c r="B18" s="37"/>
      <c r="C18" s="441">
        <v>450</v>
      </c>
      <c r="D18" s="587">
        <v>69.23</v>
      </c>
      <c r="E18" s="441"/>
      <c r="F18" s="443">
        <f t="shared" si="0"/>
        <v>450</v>
      </c>
      <c r="G18" s="593"/>
    </row>
    <row r="19" spans="1:7" ht="12.75">
      <c r="A19" s="36" t="s">
        <v>874</v>
      </c>
      <c r="B19" s="37"/>
      <c r="C19" s="441">
        <v>25</v>
      </c>
      <c r="D19" s="587">
        <v>50</v>
      </c>
      <c r="E19" s="441"/>
      <c r="F19" s="443">
        <f t="shared" si="0"/>
        <v>25</v>
      </c>
      <c r="G19" s="593"/>
    </row>
    <row r="20" spans="1:7" ht="12.75">
      <c r="A20" s="36" t="s">
        <v>875</v>
      </c>
      <c r="B20" s="37"/>
      <c r="C20" s="441">
        <f>429-356</f>
        <v>73</v>
      </c>
      <c r="D20" s="587">
        <v>99</v>
      </c>
      <c r="E20" s="441"/>
      <c r="F20" s="443">
        <f t="shared" si="0"/>
        <v>73</v>
      </c>
      <c r="G20" s="593"/>
    </row>
    <row r="21" spans="1:7" ht="12.75">
      <c r="A21" s="36" t="s">
        <v>876</v>
      </c>
      <c r="B21" s="37"/>
      <c r="C21" s="441"/>
      <c r="D21" s="587"/>
      <c r="E21" s="441"/>
      <c r="F21" s="443">
        <f t="shared" si="0"/>
        <v>0</v>
      </c>
      <c r="G21" s="593"/>
    </row>
    <row r="22" spans="1:7" ht="12.75">
      <c r="A22" s="36" t="s">
        <v>877</v>
      </c>
      <c r="B22" s="37"/>
      <c r="C22" s="441"/>
      <c r="D22" s="587"/>
      <c r="E22" s="441"/>
      <c r="F22" s="443">
        <f t="shared" si="0"/>
        <v>0</v>
      </c>
      <c r="G22" s="593"/>
    </row>
    <row r="23" spans="1:7" ht="12.75">
      <c r="A23" s="36" t="s">
        <v>878</v>
      </c>
      <c r="B23" s="37"/>
      <c r="C23" s="441">
        <v>1119</v>
      </c>
      <c r="D23" s="587">
        <v>100</v>
      </c>
      <c r="E23" s="441"/>
      <c r="F23" s="443">
        <f t="shared" si="0"/>
        <v>1119</v>
      </c>
      <c r="G23" s="593"/>
    </row>
    <row r="24" spans="1:7" ht="12.75">
      <c r="A24" s="36" t="s">
        <v>879</v>
      </c>
      <c r="B24" s="37"/>
      <c r="C24" s="441"/>
      <c r="D24" s="587"/>
      <c r="E24" s="441"/>
      <c r="F24" s="443">
        <f t="shared" si="0"/>
        <v>0</v>
      </c>
      <c r="G24" s="593"/>
    </row>
    <row r="25" spans="1:7" ht="12" customHeight="1">
      <c r="A25" s="36" t="s">
        <v>880</v>
      </c>
      <c r="B25" s="37"/>
      <c r="C25" s="441">
        <v>45</v>
      </c>
      <c r="D25" s="587">
        <v>90</v>
      </c>
      <c r="E25" s="441"/>
      <c r="F25" s="443">
        <f t="shared" si="0"/>
        <v>45</v>
      </c>
      <c r="G25" s="593"/>
    </row>
    <row r="26" spans="1:7" ht="12.75">
      <c r="A26" s="36" t="s">
        <v>881</v>
      </c>
      <c r="B26" s="37"/>
      <c r="C26" s="441">
        <f>5913-1300</f>
        <v>4613</v>
      </c>
      <c r="D26" s="587">
        <v>77.36</v>
      </c>
      <c r="E26" s="441"/>
      <c r="F26" s="443">
        <f t="shared" si="0"/>
        <v>4613</v>
      </c>
      <c r="G26" s="593"/>
    </row>
    <row r="27" spans="1:7" ht="12.75">
      <c r="A27" s="36" t="s">
        <v>887</v>
      </c>
      <c r="B27" s="37"/>
      <c r="C27" s="441">
        <v>60</v>
      </c>
      <c r="D27" s="587">
        <v>100</v>
      </c>
      <c r="E27" s="441"/>
      <c r="F27" s="443">
        <f t="shared" si="0"/>
        <v>60</v>
      </c>
      <c r="G27" s="593"/>
    </row>
    <row r="28" spans="1:16" ht="11.25" customHeight="1">
      <c r="A28" s="38" t="s">
        <v>565</v>
      </c>
      <c r="B28" s="39" t="s">
        <v>831</v>
      </c>
      <c r="C28" s="429">
        <f>SUM(C12:C27)</f>
        <v>14806</v>
      </c>
      <c r="D28" s="586"/>
      <c r="E28" s="429">
        <f>SUM(E12:E26)</f>
        <v>0</v>
      </c>
      <c r="F28" s="442">
        <f>SUM(F12:F27)</f>
        <v>14806</v>
      </c>
      <c r="G28" s="515"/>
      <c r="H28" s="515"/>
      <c r="I28" s="515"/>
      <c r="J28" s="515"/>
      <c r="K28" s="515"/>
      <c r="L28" s="515"/>
      <c r="M28" s="515"/>
      <c r="N28" s="515"/>
      <c r="O28" s="515"/>
      <c r="P28" s="515"/>
    </row>
    <row r="29" spans="1:6" ht="16.5" customHeight="1">
      <c r="A29" s="36" t="s">
        <v>832</v>
      </c>
      <c r="B29" s="40"/>
      <c r="C29" s="429"/>
      <c r="D29" s="586"/>
      <c r="E29" s="429"/>
      <c r="F29" s="442"/>
    </row>
    <row r="30" spans="1:6" ht="12.75">
      <c r="A30" s="36" t="s">
        <v>544</v>
      </c>
      <c r="B30" s="40"/>
      <c r="C30" s="441"/>
      <c r="D30" s="587"/>
      <c r="E30" s="441"/>
      <c r="F30" s="443">
        <f>C30-E30</f>
        <v>0</v>
      </c>
    </row>
    <row r="31" spans="1:6" ht="12.75">
      <c r="A31" s="36" t="s">
        <v>547</v>
      </c>
      <c r="B31" s="40"/>
      <c r="C31" s="441"/>
      <c r="D31" s="587"/>
      <c r="E31" s="441"/>
      <c r="F31" s="443">
        <f aca="true" t="shared" si="1" ref="F31:F44">C31-E31</f>
        <v>0</v>
      </c>
    </row>
    <row r="32" spans="1:6" ht="12.75">
      <c r="A32" s="36" t="s">
        <v>550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 t="s">
        <v>553</v>
      </c>
      <c r="B33" s="40"/>
      <c r="C33" s="441"/>
      <c r="D33" s="587"/>
      <c r="E33" s="441"/>
      <c r="F33" s="443">
        <f t="shared" si="1"/>
        <v>0</v>
      </c>
    </row>
    <row r="34" spans="1:6" ht="12.75">
      <c r="A34" s="36">
        <v>5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6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7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8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9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10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11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12</v>
      </c>
      <c r="B41" s="37"/>
      <c r="C41" s="441"/>
      <c r="D41" s="587"/>
      <c r="E41" s="441"/>
      <c r="F41" s="443">
        <f t="shared" si="1"/>
        <v>0</v>
      </c>
    </row>
    <row r="42" spans="1:6" ht="12.75">
      <c r="A42" s="36">
        <v>13</v>
      </c>
      <c r="B42" s="37"/>
      <c r="C42" s="441"/>
      <c r="D42" s="587"/>
      <c r="E42" s="441"/>
      <c r="F42" s="443">
        <f t="shared" si="1"/>
        <v>0</v>
      </c>
    </row>
    <row r="43" spans="1:6" ht="12" customHeight="1">
      <c r="A43" s="36">
        <v>14</v>
      </c>
      <c r="B43" s="37"/>
      <c r="C43" s="441"/>
      <c r="D43" s="587"/>
      <c r="E43" s="441"/>
      <c r="F43" s="443">
        <f t="shared" si="1"/>
        <v>0</v>
      </c>
    </row>
    <row r="44" spans="1:6" ht="12.75">
      <c r="A44" s="36">
        <v>15</v>
      </c>
      <c r="B44" s="37"/>
      <c r="C44" s="441"/>
      <c r="D44" s="587"/>
      <c r="E44" s="441"/>
      <c r="F44" s="443">
        <f t="shared" si="1"/>
        <v>0</v>
      </c>
    </row>
    <row r="45" spans="1:16" ht="15" customHeight="1">
      <c r="A45" s="38" t="s">
        <v>582</v>
      </c>
      <c r="B45" s="39" t="s">
        <v>833</v>
      </c>
      <c r="C45" s="429">
        <f>SUM(C30:C44)</f>
        <v>0</v>
      </c>
      <c r="D45" s="586"/>
      <c r="E45" s="429">
        <f>SUM(E30:E44)</f>
        <v>0</v>
      </c>
      <c r="F45" s="442">
        <f>SUM(F30:F44)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2.75" customHeight="1">
      <c r="A46" s="36" t="s">
        <v>834</v>
      </c>
      <c r="B46" s="40"/>
      <c r="C46" s="429"/>
      <c r="D46" s="586"/>
      <c r="E46" s="429"/>
      <c r="F46" s="442"/>
    </row>
    <row r="47" spans="1:6" ht="12.75">
      <c r="A47" s="36" t="s">
        <v>885</v>
      </c>
      <c r="B47" s="40"/>
      <c r="C47" s="441">
        <v>4</v>
      </c>
      <c r="D47" s="587">
        <v>40</v>
      </c>
      <c r="E47" s="441"/>
      <c r="F47" s="443">
        <f>C47-E47</f>
        <v>4</v>
      </c>
    </row>
    <row r="48" spans="1:6" ht="12.75">
      <c r="A48" s="36">
        <v>2</v>
      </c>
      <c r="B48" s="40"/>
      <c r="C48" s="441"/>
      <c r="D48" s="587"/>
      <c r="E48" s="441"/>
      <c r="F48" s="443">
        <f aca="true" t="shared" si="2" ref="F48:F61">C48-E48</f>
        <v>0</v>
      </c>
    </row>
    <row r="49" spans="1:6" ht="12.75">
      <c r="A49" s="36" t="s">
        <v>550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 t="s">
        <v>553</v>
      </c>
      <c r="B50" s="40"/>
      <c r="C50" s="441"/>
      <c r="D50" s="587"/>
      <c r="E50" s="441"/>
      <c r="F50" s="443">
        <f t="shared" si="2"/>
        <v>0</v>
      </c>
    </row>
    <row r="51" spans="1:6" ht="12.75">
      <c r="A51" s="36">
        <v>5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6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7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8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9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10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11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12</v>
      </c>
      <c r="B58" s="37"/>
      <c r="C58" s="441"/>
      <c r="D58" s="587"/>
      <c r="E58" s="441"/>
      <c r="F58" s="443">
        <f t="shared" si="2"/>
        <v>0</v>
      </c>
    </row>
    <row r="59" spans="1:6" ht="12.75">
      <c r="A59" s="36">
        <v>13</v>
      </c>
      <c r="B59" s="37"/>
      <c r="C59" s="441"/>
      <c r="D59" s="587"/>
      <c r="E59" s="441"/>
      <c r="F59" s="443">
        <f t="shared" si="2"/>
        <v>0</v>
      </c>
    </row>
    <row r="60" spans="1:6" ht="12" customHeight="1">
      <c r="A60" s="36">
        <v>14</v>
      </c>
      <c r="B60" s="37"/>
      <c r="C60" s="441"/>
      <c r="D60" s="587"/>
      <c r="E60" s="441"/>
      <c r="F60" s="443">
        <f t="shared" si="2"/>
        <v>0</v>
      </c>
    </row>
    <row r="61" spans="1:6" ht="12.75">
      <c r="A61" s="36">
        <v>15</v>
      </c>
      <c r="B61" s="37"/>
      <c r="C61" s="441"/>
      <c r="D61" s="587"/>
      <c r="E61" s="441"/>
      <c r="F61" s="443">
        <f t="shared" si="2"/>
        <v>0</v>
      </c>
    </row>
    <row r="62" spans="1:16" ht="12" customHeight="1">
      <c r="A62" s="38" t="s">
        <v>601</v>
      </c>
      <c r="B62" s="39" t="s">
        <v>835</v>
      </c>
      <c r="C62" s="429">
        <f>SUM(C47:C61)</f>
        <v>4</v>
      </c>
      <c r="D62" s="586"/>
      <c r="E62" s="429">
        <f>SUM(E47:E61)</f>
        <v>0</v>
      </c>
      <c r="F62" s="442">
        <f>SUM(F47:F61)</f>
        <v>4</v>
      </c>
      <c r="G62" s="515"/>
      <c r="H62" s="515"/>
      <c r="I62" s="515"/>
      <c r="J62" s="515"/>
      <c r="K62" s="515"/>
      <c r="L62" s="515"/>
      <c r="M62" s="515"/>
      <c r="N62" s="515"/>
      <c r="O62" s="515"/>
      <c r="P62" s="515"/>
    </row>
    <row r="63" spans="1:6" ht="18.75" customHeight="1">
      <c r="A63" s="36" t="s">
        <v>836</v>
      </c>
      <c r="B63" s="40"/>
      <c r="C63" s="429"/>
      <c r="D63" s="586"/>
      <c r="E63" s="429"/>
      <c r="F63" s="442"/>
    </row>
    <row r="64" spans="1:6" ht="12.75">
      <c r="A64" s="36" t="s">
        <v>871</v>
      </c>
      <c r="B64" s="40"/>
      <c r="C64" s="441"/>
      <c r="D64" s="587"/>
      <c r="E64" s="441"/>
      <c r="F64" s="443">
        <f>C64-E64</f>
        <v>0</v>
      </c>
    </row>
    <row r="65" spans="1:6" ht="12.75">
      <c r="A65" s="36" t="s">
        <v>882</v>
      </c>
      <c r="B65" s="40"/>
      <c r="C65" s="441"/>
      <c r="D65" s="587"/>
      <c r="E65" s="441"/>
      <c r="F65" s="443">
        <f aca="true" t="shared" si="3" ref="F65:F78">C65-E65</f>
        <v>0</v>
      </c>
    </row>
    <row r="66" spans="1:6" ht="12.75">
      <c r="A66" s="36" t="s">
        <v>883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 t="s">
        <v>884</v>
      </c>
      <c r="B67" s="40"/>
      <c r="C67" s="441"/>
      <c r="D67" s="587"/>
      <c r="E67" s="441"/>
      <c r="F67" s="443">
        <f t="shared" si="3"/>
        <v>0</v>
      </c>
    </row>
    <row r="68" spans="1:6" ht="12.75">
      <c r="A68" s="36">
        <v>5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6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7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8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9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10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11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12</v>
      </c>
      <c r="B75" s="37"/>
      <c r="C75" s="441"/>
      <c r="D75" s="587"/>
      <c r="E75" s="441"/>
      <c r="F75" s="443">
        <f t="shared" si="3"/>
        <v>0</v>
      </c>
    </row>
    <row r="76" spans="1:6" ht="12.75">
      <c r="A76" s="36">
        <v>13</v>
      </c>
      <c r="B76" s="37"/>
      <c r="C76" s="441"/>
      <c r="D76" s="587"/>
      <c r="E76" s="441"/>
      <c r="F76" s="443">
        <f t="shared" si="3"/>
        <v>0</v>
      </c>
    </row>
    <row r="77" spans="1:6" ht="12" customHeight="1">
      <c r="A77" s="36">
        <v>14</v>
      </c>
      <c r="B77" s="37"/>
      <c r="C77" s="441"/>
      <c r="D77" s="587"/>
      <c r="E77" s="441"/>
      <c r="F77" s="443">
        <f t="shared" si="3"/>
        <v>0</v>
      </c>
    </row>
    <row r="78" spans="1:6" ht="12.75">
      <c r="A78" s="36">
        <v>15</v>
      </c>
      <c r="B78" s="37"/>
      <c r="C78" s="441"/>
      <c r="D78" s="587"/>
      <c r="E78" s="441"/>
      <c r="F78" s="443">
        <f t="shared" si="3"/>
        <v>0</v>
      </c>
    </row>
    <row r="79" spans="1:16" ht="14.25" customHeight="1">
      <c r="A79" s="38" t="s">
        <v>837</v>
      </c>
      <c r="B79" s="39" t="s">
        <v>838</v>
      </c>
      <c r="C79" s="429">
        <f>SUM(C64:C78)</f>
        <v>0</v>
      </c>
      <c r="D79" s="586"/>
      <c r="E79" s="429">
        <f>SUM(E64:E78)</f>
        <v>0</v>
      </c>
      <c r="F79" s="442">
        <f>SUM(F64:F78)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16" ht="20.25" customHeight="1">
      <c r="A80" s="41" t="s">
        <v>839</v>
      </c>
      <c r="B80" s="39" t="s">
        <v>840</v>
      </c>
      <c r="C80" s="429">
        <f>C79+C62+C45+C28</f>
        <v>14810</v>
      </c>
      <c r="D80" s="586"/>
      <c r="E80" s="429">
        <f>E79+E62+E45+E28</f>
        <v>0</v>
      </c>
      <c r="F80" s="442">
        <f>F79+F62+F45+F28</f>
        <v>14810</v>
      </c>
      <c r="G80" s="515"/>
      <c r="H80" s="515"/>
      <c r="I80" s="515"/>
      <c r="J80" s="515"/>
      <c r="K80" s="515"/>
      <c r="L80" s="515"/>
      <c r="M80" s="515"/>
      <c r="N80" s="515"/>
      <c r="O80" s="515"/>
      <c r="P80" s="515"/>
    </row>
    <row r="81" spans="1:6" ht="15" customHeight="1">
      <c r="A81" s="34" t="s">
        <v>841</v>
      </c>
      <c r="B81" s="39"/>
      <c r="C81" s="429"/>
      <c r="D81" s="586"/>
      <c r="E81" s="429"/>
      <c r="F81" s="442"/>
    </row>
    <row r="82" spans="1:6" ht="14.25" customHeight="1">
      <c r="A82" s="36" t="s">
        <v>828</v>
      </c>
      <c r="B82" s="40"/>
      <c r="C82" s="429"/>
      <c r="D82" s="586"/>
      <c r="E82" s="429"/>
      <c r="F82" s="442"/>
    </row>
    <row r="83" spans="1:6" ht="12.75">
      <c r="A83" s="36" t="s">
        <v>829</v>
      </c>
      <c r="B83" s="40"/>
      <c r="C83" s="441"/>
      <c r="D83" s="587"/>
      <c r="E83" s="441"/>
      <c r="F83" s="443">
        <f>C83-E83</f>
        <v>0</v>
      </c>
    </row>
    <row r="84" spans="1:6" ht="12.75">
      <c r="A84" s="36" t="s">
        <v>830</v>
      </c>
      <c r="B84" s="40"/>
      <c r="C84" s="441"/>
      <c r="D84" s="587"/>
      <c r="E84" s="441"/>
      <c r="F84" s="443">
        <f aca="true" t="shared" si="4" ref="F84:F97">C84-E84</f>
        <v>0</v>
      </c>
    </row>
    <row r="85" spans="1:6" ht="12.75">
      <c r="A85" s="36" t="s">
        <v>550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 t="s">
        <v>553</v>
      </c>
      <c r="B86" s="40"/>
      <c r="C86" s="441"/>
      <c r="D86" s="587"/>
      <c r="E86" s="441"/>
      <c r="F86" s="443">
        <f t="shared" si="4"/>
        <v>0</v>
      </c>
    </row>
    <row r="87" spans="1:6" ht="12.75">
      <c r="A87" s="36">
        <v>5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6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7</v>
      </c>
      <c r="B89" s="37"/>
      <c r="C89" s="441"/>
      <c r="D89" s="587"/>
      <c r="E89" s="441"/>
      <c r="F89" s="443">
        <f t="shared" si="4"/>
        <v>0</v>
      </c>
    </row>
    <row r="90" spans="1:6" ht="12.75">
      <c r="A90" s="36">
        <v>8</v>
      </c>
      <c r="B90" s="37"/>
      <c r="C90" s="441"/>
      <c r="D90" s="587"/>
      <c r="E90" s="441"/>
      <c r="F90" s="443">
        <f t="shared" si="4"/>
        <v>0</v>
      </c>
    </row>
    <row r="91" spans="1:6" ht="12" customHeight="1">
      <c r="A91" s="36">
        <v>9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10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11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12</v>
      </c>
      <c r="B94" s="37"/>
      <c r="C94" s="441"/>
      <c r="D94" s="587"/>
      <c r="E94" s="441"/>
      <c r="F94" s="443">
        <f t="shared" si="4"/>
        <v>0</v>
      </c>
    </row>
    <row r="95" spans="1:6" ht="12.75">
      <c r="A95" s="36">
        <v>13</v>
      </c>
      <c r="B95" s="37"/>
      <c r="C95" s="441"/>
      <c r="D95" s="587"/>
      <c r="E95" s="441"/>
      <c r="F95" s="443">
        <f t="shared" si="4"/>
        <v>0</v>
      </c>
    </row>
    <row r="96" spans="1:6" ht="12" customHeight="1">
      <c r="A96" s="36">
        <v>14</v>
      </c>
      <c r="B96" s="37"/>
      <c r="C96" s="441"/>
      <c r="D96" s="587"/>
      <c r="E96" s="441"/>
      <c r="F96" s="443">
        <f t="shared" si="4"/>
        <v>0</v>
      </c>
    </row>
    <row r="97" spans="1:6" ht="12.75">
      <c r="A97" s="36">
        <v>15</v>
      </c>
      <c r="B97" s="37"/>
      <c r="C97" s="441"/>
      <c r="D97" s="587"/>
      <c r="E97" s="441"/>
      <c r="F97" s="443">
        <f t="shared" si="4"/>
        <v>0</v>
      </c>
    </row>
    <row r="98" spans="1:16" ht="15" customHeight="1">
      <c r="A98" s="38" t="s">
        <v>565</v>
      </c>
      <c r="B98" s="39" t="s">
        <v>842</v>
      </c>
      <c r="C98" s="429">
        <f>SUM(C83:C97)</f>
        <v>0</v>
      </c>
      <c r="D98" s="586"/>
      <c r="E98" s="429">
        <f>SUM(E83:E97)</f>
        <v>0</v>
      </c>
      <c r="F98" s="442">
        <f>SUM(F83:F97)</f>
        <v>0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</row>
    <row r="99" spans="1:6" ht="15.75" customHeight="1">
      <c r="A99" s="36" t="s">
        <v>832</v>
      </c>
      <c r="B99" s="40"/>
      <c r="C99" s="429"/>
      <c r="D99" s="586"/>
      <c r="E99" s="429"/>
      <c r="F99" s="442"/>
    </row>
    <row r="100" spans="1:6" ht="12.75">
      <c r="A100" s="36" t="s">
        <v>544</v>
      </c>
      <c r="B100" s="40"/>
      <c r="C100" s="441"/>
      <c r="D100" s="587"/>
      <c r="E100" s="441"/>
      <c r="F100" s="443">
        <f>C100-E100</f>
        <v>0</v>
      </c>
    </row>
    <row r="101" spans="1:6" ht="12.75">
      <c r="A101" s="36" t="s">
        <v>547</v>
      </c>
      <c r="B101" s="40"/>
      <c r="C101" s="441"/>
      <c r="D101" s="587"/>
      <c r="E101" s="441"/>
      <c r="F101" s="443">
        <f aca="true" t="shared" si="5" ref="F101:F114">C101-E101</f>
        <v>0</v>
      </c>
    </row>
    <row r="102" spans="1:6" ht="12.75">
      <c r="A102" s="36" t="s">
        <v>550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 t="s">
        <v>553</v>
      </c>
      <c r="B103" s="40"/>
      <c r="C103" s="441"/>
      <c r="D103" s="587"/>
      <c r="E103" s="441"/>
      <c r="F103" s="443">
        <f t="shared" si="5"/>
        <v>0</v>
      </c>
    </row>
    <row r="104" spans="1:6" ht="12.75">
      <c r="A104" s="36">
        <v>5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6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7</v>
      </c>
      <c r="B106" s="37"/>
      <c r="C106" s="441"/>
      <c r="D106" s="587"/>
      <c r="E106" s="441"/>
      <c r="F106" s="443">
        <f t="shared" si="5"/>
        <v>0</v>
      </c>
    </row>
    <row r="107" spans="1:6" ht="12.75">
      <c r="A107" s="36">
        <v>8</v>
      </c>
      <c r="B107" s="37"/>
      <c r="C107" s="441"/>
      <c r="D107" s="587"/>
      <c r="E107" s="441"/>
      <c r="F107" s="443">
        <f t="shared" si="5"/>
        <v>0</v>
      </c>
    </row>
    <row r="108" spans="1:6" ht="12" customHeight="1">
      <c r="A108" s="36">
        <v>9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10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11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12</v>
      </c>
      <c r="B111" s="37"/>
      <c r="C111" s="441"/>
      <c r="D111" s="587"/>
      <c r="E111" s="441"/>
      <c r="F111" s="443">
        <f t="shared" si="5"/>
        <v>0</v>
      </c>
    </row>
    <row r="112" spans="1:6" ht="12.75">
      <c r="A112" s="36">
        <v>13</v>
      </c>
      <c r="B112" s="37"/>
      <c r="C112" s="441"/>
      <c r="D112" s="587"/>
      <c r="E112" s="441"/>
      <c r="F112" s="443">
        <f t="shared" si="5"/>
        <v>0</v>
      </c>
    </row>
    <row r="113" spans="1:6" ht="12" customHeight="1">
      <c r="A113" s="36">
        <v>14</v>
      </c>
      <c r="B113" s="37"/>
      <c r="C113" s="441"/>
      <c r="D113" s="587"/>
      <c r="E113" s="441"/>
      <c r="F113" s="443">
        <f t="shared" si="5"/>
        <v>0</v>
      </c>
    </row>
    <row r="114" spans="1:6" ht="12.75">
      <c r="A114" s="36">
        <v>15</v>
      </c>
      <c r="B114" s="37"/>
      <c r="C114" s="441"/>
      <c r="D114" s="587"/>
      <c r="E114" s="441"/>
      <c r="F114" s="443">
        <f t="shared" si="5"/>
        <v>0</v>
      </c>
    </row>
    <row r="115" spans="1:16" ht="11.25" customHeight="1">
      <c r="A115" s="38" t="s">
        <v>582</v>
      </c>
      <c r="B115" s="39" t="s">
        <v>843</v>
      </c>
      <c r="C115" s="429">
        <f>SUM(C100:C114)</f>
        <v>0</v>
      </c>
      <c r="D115" s="586"/>
      <c r="E115" s="429">
        <f>SUM(E100:E114)</f>
        <v>0</v>
      </c>
      <c r="F115" s="442">
        <f>SUM(F100:F114)</f>
        <v>0</v>
      </c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</row>
    <row r="116" spans="1:6" ht="15" customHeight="1">
      <c r="A116" s="36" t="s">
        <v>834</v>
      </c>
      <c r="B116" s="40"/>
      <c r="C116" s="429"/>
      <c r="D116" s="586"/>
      <c r="E116" s="429"/>
      <c r="F116" s="442"/>
    </row>
    <row r="117" spans="1:6" ht="12.75">
      <c r="A117" s="36" t="s">
        <v>544</v>
      </c>
      <c r="B117" s="40"/>
      <c r="C117" s="441"/>
      <c r="D117" s="587"/>
      <c r="E117" s="441"/>
      <c r="F117" s="443">
        <f>C117-E117</f>
        <v>0</v>
      </c>
    </row>
    <row r="118" spans="1:6" ht="12.75">
      <c r="A118" s="36" t="s">
        <v>547</v>
      </c>
      <c r="B118" s="40"/>
      <c r="C118" s="441"/>
      <c r="D118" s="587"/>
      <c r="E118" s="441"/>
      <c r="F118" s="443">
        <f aca="true" t="shared" si="6" ref="F118:F131">C118-E118</f>
        <v>0</v>
      </c>
    </row>
    <row r="119" spans="1:6" ht="12.75">
      <c r="A119" s="36" t="s">
        <v>550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 t="s">
        <v>553</v>
      </c>
      <c r="B120" s="40"/>
      <c r="C120" s="441"/>
      <c r="D120" s="587"/>
      <c r="E120" s="441"/>
      <c r="F120" s="443">
        <f t="shared" si="6"/>
        <v>0</v>
      </c>
    </row>
    <row r="121" spans="1:6" ht="12.75">
      <c r="A121" s="36">
        <v>5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6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7</v>
      </c>
      <c r="B123" s="37"/>
      <c r="C123" s="441"/>
      <c r="D123" s="587"/>
      <c r="E123" s="441"/>
      <c r="F123" s="443">
        <f t="shared" si="6"/>
        <v>0</v>
      </c>
    </row>
    <row r="124" spans="1:6" ht="12.75">
      <c r="A124" s="36">
        <v>8</v>
      </c>
      <c r="B124" s="37"/>
      <c r="C124" s="441"/>
      <c r="D124" s="587"/>
      <c r="E124" s="441"/>
      <c r="F124" s="443">
        <f t="shared" si="6"/>
        <v>0</v>
      </c>
    </row>
    <row r="125" spans="1:6" ht="12" customHeight="1">
      <c r="A125" s="36">
        <v>9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10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11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12</v>
      </c>
      <c r="B128" s="37"/>
      <c r="C128" s="441"/>
      <c r="D128" s="587"/>
      <c r="E128" s="441"/>
      <c r="F128" s="443">
        <f t="shared" si="6"/>
        <v>0</v>
      </c>
    </row>
    <row r="129" spans="1:6" ht="12.75">
      <c r="A129" s="36">
        <v>13</v>
      </c>
      <c r="B129" s="37"/>
      <c r="C129" s="441"/>
      <c r="D129" s="587"/>
      <c r="E129" s="441"/>
      <c r="F129" s="443">
        <f t="shared" si="6"/>
        <v>0</v>
      </c>
    </row>
    <row r="130" spans="1:6" ht="12" customHeight="1">
      <c r="A130" s="36">
        <v>14</v>
      </c>
      <c r="B130" s="37"/>
      <c r="C130" s="441"/>
      <c r="D130" s="587"/>
      <c r="E130" s="441"/>
      <c r="F130" s="443">
        <f t="shared" si="6"/>
        <v>0</v>
      </c>
    </row>
    <row r="131" spans="1:6" ht="12.75">
      <c r="A131" s="36">
        <v>15</v>
      </c>
      <c r="B131" s="37"/>
      <c r="C131" s="441"/>
      <c r="D131" s="587"/>
      <c r="E131" s="441"/>
      <c r="F131" s="443">
        <f t="shared" si="6"/>
        <v>0</v>
      </c>
    </row>
    <row r="132" spans="1:16" ht="15.75" customHeight="1">
      <c r="A132" s="38" t="s">
        <v>601</v>
      </c>
      <c r="B132" s="39" t="s">
        <v>844</v>
      </c>
      <c r="C132" s="429">
        <f>SUM(C117:C131)</f>
        <v>0</v>
      </c>
      <c r="D132" s="586"/>
      <c r="E132" s="429">
        <f>SUM(E117:E131)</f>
        <v>0</v>
      </c>
      <c r="F132" s="442">
        <f>SUM(F117:F131)</f>
        <v>0</v>
      </c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</row>
    <row r="133" spans="1:6" ht="12.75" customHeight="1">
      <c r="A133" s="36" t="s">
        <v>836</v>
      </c>
      <c r="B133" s="40"/>
      <c r="C133" s="429"/>
      <c r="D133" s="586"/>
      <c r="E133" s="429"/>
      <c r="F133" s="442"/>
    </row>
    <row r="134" spans="1:6" ht="12.75">
      <c r="A134" s="36"/>
      <c r="B134" s="40"/>
      <c r="C134" s="441"/>
      <c r="D134" s="587"/>
      <c r="E134" s="441"/>
      <c r="F134" s="443">
        <f>C134-E134</f>
        <v>0</v>
      </c>
    </row>
    <row r="135" spans="1:6" ht="12.75">
      <c r="A135" s="36"/>
      <c r="B135" s="40"/>
      <c r="C135" s="441"/>
      <c r="D135" s="587"/>
      <c r="E135" s="441"/>
      <c r="F135" s="443">
        <f aca="true" t="shared" si="7" ref="F135:F148">C135-E135</f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40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.75">
      <c r="A141" s="36"/>
      <c r="B141" s="37"/>
      <c r="C141" s="441"/>
      <c r="D141" s="587"/>
      <c r="E141" s="441"/>
      <c r="F141" s="443">
        <f t="shared" si="7"/>
        <v>0</v>
      </c>
    </row>
    <row r="142" spans="1:6" ht="12" customHeight="1">
      <c r="A142" s="36">
        <v>9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10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11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12</v>
      </c>
      <c r="B145" s="37"/>
      <c r="C145" s="441"/>
      <c r="D145" s="587"/>
      <c r="E145" s="441"/>
      <c r="F145" s="443">
        <f t="shared" si="7"/>
        <v>0</v>
      </c>
    </row>
    <row r="146" spans="1:6" ht="12.75">
      <c r="A146" s="36">
        <v>13</v>
      </c>
      <c r="B146" s="37"/>
      <c r="C146" s="441"/>
      <c r="D146" s="587"/>
      <c r="E146" s="441"/>
      <c r="F146" s="443">
        <f t="shared" si="7"/>
        <v>0</v>
      </c>
    </row>
    <row r="147" spans="1:6" ht="12" customHeight="1">
      <c r="A147" s="36">
        <v>14</v>
      </c>
      <c r="B147" s="37"/>
      <c r="C147" s="441"/>
      <c r="D147" s="587"/>
      <c r="E147" s="441"/>
      <c r="F147" s="443">
        <f t="shared" si="7"/>
        <v>0</v>
      </c>
    </row>
    <row r="148" spans="1:6" ht="12.75">
      <c r="A148" s="36">
        <v>15</v>
      </c>
      <c r="B148" s="37"/>
      <c r="C148" s="441"/>
      <c r="D148" s="587"/>
      <c r="E148" s="441"/>
      <c r="F148" s="443">
        <f t="shared" si="7"/>
        <v>0</v>
      </c>
    </row>
    <row r="149" spans="1:16" ht="17.25" customHeight="1">
      <c r="A149" s="38" t="s">
        <v>837</v>
      </c>
      <c r="B149" s="39" t="s">
        <v>845</v>
      </c>
      <c r="C149" s="429">
        <f>SUM(C134:C148)</f>
        <v>0</v>
      </c>
      <c r="D149" s="586"/>
      <c r="E149" s="429">
        <f>SUM(E134:E148)</f>
        <v>0</v>
      </c>
      <c r="F149" s="442">
        <f>SUM(F134:F148)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16" ht="19.5" customHeight="1">
      <c r="A150" s="41" t="s">
        <v>846</v>
      </c>
      <c r="B150" s="39" t="s">
        <v>847</v>
      </c>
      <c r="C150" s="429">
        <f>C149+C132+C115+C98</f>
        <v>0</v>
      </c>
      <c r="D150" s="586"/>
      <c r="E150" s="429">
        <f>E149+E132+E115+E98</f>
        <v>0</v>
      </c>
      <c r="F150" s="442">
        <f>F149+F132+F115+F98</f>
        <v>0</v>
      </c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</row>
    <row r="151" spans="1:6" ht="19.5" customHeight="1">
      <c r="A151" s="42"/>
      <c r="B151" s="43"/>
      <c r="C151" s="44"/>
      <c r="D151" s="588"/>
      <c r="E151" s="44"/>
      <c r="F151" s="44"/>
    </row>
    <row r="152" spans="1:6" ht="12.75">
      <c r="A152" s="452" t="s">
        <v>890</v>
      </c>
      <c r="B152" s="453"/>
      <c r="C152" s="649" t="s">
        <v>848</v>
      </c>
      <c r="D152" s="649"/>
      <c r="E152" s="649"/>
      <c r="F152" s="649"/>
    </row>
    <row r="153" spans="1:6" ht="12.75">
      <c r="A153" s="516"/>
      <c r="B153" s="517"/>
      <c r="C153" s="516"/>
      <c r="D153" s="589"/>
      <c r="E153" s="516"/>
      <c r="F153" s="516"/>
    </row>
    <row r="154" spans="1:6" ht="12.75">
      <c r="A154" s="516"/>
      <c r="B154" s="517"/>
      <c r="C154" s="649" t="s">
        <v>856</v>
      </c>
      <c r="D154" s="649"/>
      <c r="E154" s="649"/>
      <c r="F154" s="649"/>
    </row>
    <row r="155" spans="3:5" ht="12.75">
      <c r="C155" s="516"/>
      <c r="E155" s="516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47:F61 C64:F78 C83:F97 C100:F114 C117:F131 C12:F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20 C26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</cp:lastModifiedBy>
  <cp:lastPrinted>2013-03-29T17:32:52Z</cp:lastPrinted>
  <dcterms:created xsi:type="dcterms:W3CDTF">2000-06-29T12:02:40Z</dcterms:created>
  <dcterms:modified xsi:type="dcterms:W3CDTF">2013-03-29T18:34:23Z</dcterms:modified>
  <cp:category/>
  <cp:version/>
  <cp:contentType/>
  <cp:contentStatus/>
</cp:coreProperties>
</file>