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<sst xmlns="http://schemas.openxmlformats.org/spreadsheetml/2006/main" count="1049" uniqueCount="875">
  <si>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</si>
  <si>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</si>
  <si>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</si>
  <si>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</si>
  <si>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</si>
  <si>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</si>
  <si>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</si>
  <si>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</si>
  <si>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</si>
  <si>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</si>
  <si>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</si>
  <si>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</si>
  <si>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</si>
  <si>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</si>
  <si>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</si>
  <si>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</si>
  <si>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</si>
  <si>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</si>
  <si>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</si>
  <si>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</si>
  <si>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</si>
  <si>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</si>
  <si>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</si>
  <si>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</si>
  <si>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</si>
  <si>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</si>
  <si>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</si>
  <si>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</si>
  <si>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</si>
  <si>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</si>
  <si>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</si>
  <si>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</si>
  <si>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</si>
  <si>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</si>
  <si>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</si>
  <si>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</si>
  <si>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</si>
  <si>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</si>
  <si>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</si>
  <si>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</si>
  <si>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</si>
  <si>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</si>
  <si>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</si>
  <si>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</si>
  <si>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</si>
  <si>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</si>
  <si>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</si>
  <si>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</si>
  <si>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</si>
  <si>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</si>
  <si>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</si>
  <si>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</si>
  <si>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</si>
  <si>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</si>
  <si>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</si>
  <si>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</si>
  <si>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</si>
  <si>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</si>
  <si>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</si>
  <si>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</si>
  <si>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</si>
  <si>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</si>
  <si>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</si>
  <si>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</si>
  <si>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</si>
  <si>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</si>
  <si>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</si>
  <si>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</si>
  <si>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</si>
  <si>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</si>
  <si>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</si>
  <si>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</si>
  <si>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</si>
  <si>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</si>
  <si>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</si>
  <si>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</si>
  <si>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</si>
  <si>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</si>
  <si>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</si>
  <si>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</si>
  <si>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</si>
  <si>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</si>
  <si>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</si>
  <si>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</si>
  <si>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</si>
  <si>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</si>
  <si>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</si>
  <si>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</si>
  <si>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</si>
  <si>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</si>
  <si>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</si>
  <si>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</si>
  <si>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</si>
  <si>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</si>
  <si>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</si>
  <si>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</si>
  <si>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</si>
  <si>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</si>
  <si>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</si>
  <si>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</si>
  <si>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</si>
  <si>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</si>
  <si>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</si>
  <si>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</si>
  <si>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</si>
  <si>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</si>
  <si>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</si>
  <si>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</si>
  <si>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</si>
  <si>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</si>
  <si>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</si>
  <si>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</si>
  <si>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</si>
  <si>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</si>
  <si>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</si>
  <si>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</si>
  <si>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</si>
  <si>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</si>
  <si>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</si>
  <si>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</si>
  <si>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</si>
  <si>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</si>
  <si>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</si>
  <si>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</si>
  <si>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</si>
  <si>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</si>
  <si>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</si>
  <si>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</si>
  <si>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</si>
  <si>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</si>
  <si>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</si>
  <si>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</si>
  <si>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</si>
  <si>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</si>
  <si>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</si>
  <si>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</si>
  <si>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</si>
  <si>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</si>
  <si>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</si>
  <si>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</si>
  <si>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</si>
  <si>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</si>
  <si>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</si>
  <si>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</si>
  <si>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</si>
  <si>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</si>
  <si>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</si>
  <si>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</si>
  <si>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</si>
  <si>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</si>
  <si>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</si>
  <si>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</si>
  <si>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</si>
  <si>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</si>
  <si>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</si>
  <si>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</si>
  <si>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</si>
  <si>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</si>
  <si>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</si>
  <si>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</si>
  <si>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</si>
  <si>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</si>
  <si>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</si>
  <si>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</si>
  <si>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</si>
  <si>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</si>
  <si>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</si>
  <si>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</si>
  <si>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</si>
  <si>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</si>
  <si>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</si>
  <si>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</si>
  <si>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</si>
  <si>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</si>
  <si>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</si>
  <si>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</si>
  <si>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</si>
  <si>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</si>
  <si>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</si>
  <si>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</si>
  <si>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</si>
  <si>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</si>
  <si>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</si>
  <si>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</si>
  <si>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</si>
  <si>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</si>
  <si>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</si>
  <si>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</si>
  <si>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</si>
  <si>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</si>
  <si>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</si>
  <si>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</si>
  <si>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</si>
  <si>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</si>
  <si>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</si>
  <si>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</si>
  <si>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</si>
  <si>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</si>
  <si>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</si>
  <si>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</si>
  <si>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</si>
  <si>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</si>
  <si>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</si>
  <si>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</si>
  <si>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</si>
  <si>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</si>
  <si>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</si>
  <si>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</si>
  <si>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</si>
  <si>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</si>
  <si>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</si>
  <si>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</si>
  <si>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</si>
  <si>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</si>
  <si>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</si>
  <si>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</si>
  <si>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</si>
  <si>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</si>
  <si>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</si>
  <si>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</si>
  <si>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</si>
  <si>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</si>
  <si>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</si>
  <si>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</si>
  <si>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</si>
  <si>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</si>
  <si>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</si>
  <si>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</si>
  <si>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</si>
  <si>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</si>
  <si>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</si>
  <si>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</si>
  <si>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</si>
  <si>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</si>
  <si>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</si>
  <si>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</si>
  <si>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</si>
  <si>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</si>
  <si>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</si>
  <si>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</si>
  <si>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</si>
  <si>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</si>
  <si>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</si>
  <si>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</si>
  <si>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</si>
  <si>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</si>
  <si>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</si>
  <si>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</si>
  <si>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</si>
  <si>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</si>
  <si>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</si>
  <si>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</si>
  <si>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</si>
  <si>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</si>
  <si>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</si>
  <si>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</si>
  <si>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</si>
  <si>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</si>
  <si>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</si>
  <si>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</si>
  <si>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</si>
  <si>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</si>
  <si>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</si>
  <si>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</si>
  <si>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</si>
  <si>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</si>
  <si>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</si>
  <si>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</si>
  <si>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</si>
  <si>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</si>
  <si>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</si>
  <si>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</si>
  <si>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</si>
  <si>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</si>
  <si>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</si>
  <si>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</si>
  <si>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</si>
  <si>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</si>
  <si>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</si>
  <si>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</si>
  <si>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</si>
  <si>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</si>
  <si>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</si>
  <si>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</si>
  <si>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</si>
  <si>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</si>
  <si>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</si>
  <si>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</si>
  <si>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</si>
  <si>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</si>
  <si>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</si>
  <si>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</si>
  <si>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</si>
  <si>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</si>
  <si>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</si>
  <si>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</si>
  <si>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</si>
  <si>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</si>
  <si>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</si>
  <si>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</si>
  <si>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</si>
  <si>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</si>
  <si>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</si>
  <si>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</si>
  <si>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</si>
  <si>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</si>
  <si>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</si>
  <si>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</si>
  <si>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</si>
  <si>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</si>
  <si>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</si>
  <si>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</si>
  <si>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</si>
  <si>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</si>
  <si>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</si>
  <si>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</si>
  <si>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</si>
  <si>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</si>
  <si>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</si>
  <si>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</si>
  <si>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</si>
  <si>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</si>
  <si>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</si>
  <si>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</si>
  <si>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</si>
  <si>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</si>
  <si>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</si>
  <si>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</si>
  <si>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</si>
  <si>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</si>
  <si>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</si>
  <si>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</si>
  <si>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</si>
  <si>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</si>
  <si>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</si>
  <si>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</si>
  <si>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</si>
  <si>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</si>
  <si>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</si>
  <si>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</si>
  <si>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</si>
  <si>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</si>
  <si>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</si>
  <si>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</si>
  <si>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</si>
  <si>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</si>
  <si>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</si>
  <si>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</si>
  <si>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</si>
  <si>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</si>
  <si>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</si>
  <si>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</si>
  <si>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</si>
  <si>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</si>
  <si>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</si>
  <si>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</si>
  <si>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</si>
  <si>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</si>
  <si>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</si>
  <si>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</si>
  <si>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</si>
  <si>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</si>
  <si>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</si>
  <si>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</si>
  <si>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</si>
  <si>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</si>
  <si>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</si>
  <si>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</si>
  <si>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</si>
  <si>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</si>
  <si>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</si>
  <si>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</si>
  <si>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</si>
  <si>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</si>
  <si>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</si>
  <si>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</si>
  <si>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</si>
  <si>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</si>
  <si>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</si>
  <si>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</si>
  <si>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</si>
  <si>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</si>
  <si>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</si>
  <si>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</si>
  <si>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</si>
  <si>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</si>
  <si>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</si>
  <si>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</si>
  <si>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</si>
  <si>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</si>
  <si>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</si>
  <si>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</si>
  <si>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</si>
  <si>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</si>
  <si>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</si>
  <si>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</si>
  <si>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</si>
  <si>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</si>
  <si>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</si>
  <si>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</si>
  <si>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</si>
  <si>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</si>
  <si>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</si>
  <si>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</si>
  <si>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</si>
  <si>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</si>
  <si>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</si>
  <si>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</si>
  <si>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</si>
  <si>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</si>
  <si>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</si>
  <si>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</si>
  <si>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</si>
  <si>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</si>
  <si>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</si>
  <si>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</si>
  <si>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</si>
  <si>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</si>
  <si>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</si>
  <si>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</si>
  <si>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</si>
  <si>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</si>
  <si>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</si>
  <si>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</si>
  <si>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</si>
  <si>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</si>
  <si>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</si>
  <si>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</si>
  <si>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</si>
  <si>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</si>
  <si>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</si>
  <si>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</si>
  <si>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</si>
  <si>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</si>
  <si>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</si>
  <si>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</si>
  <si>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</si>
  <si>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</si>
  <si>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</si>
  <si>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</si>
  <si>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</si>
  <si>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</si>
  <si>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</si>
  <si>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</si>
  <si>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</si>
  <si>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</si>
  <si>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</si>
  <si>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</si>
  <si>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</si>
  <si>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</si>
  <si>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</si>
  <si>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</si>
  <si>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</si>
  <si>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</si>
  <si>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</si>
  <si>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</si>
  <si>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</si>
  <si>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</si>
  <si>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</si>
  <si>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</si>
  <si>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</si>
  <si>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</si>
  <si>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</si>
  <si>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</si>
  <si>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</si>
  <si>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</si>
  <si>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</si>
  <si>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</si>
  <si>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</si>
  <si>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</si>
  <si>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</si>
  <si>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</si>
  <si>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</si>
  <si>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</si>
  <si>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</si>
  <si>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</si>
  <si>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</si>
  <si>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</si>
  <si>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</si>
  <si>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</si>
  <si>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</si>
  <si>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</si>
  <si>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</si>
  <si>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</si>
  <si>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</si>
  <si>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</si>
  <si>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</si>
  <si>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</si>
  <si>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</si>
  <si>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</si>
  <si>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</si>
  <si>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</si>
  <si>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</si>
  <si>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</si>
  <si>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</si>
  <si>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</si>
  <si>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</si>
  <si>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</si>
  <si>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</si>
  <si>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</si>
  <si>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</si>
  <si>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</si>
  <si>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</si>
  <si>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</si>
  <si>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</si>
  <si>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</si>
  <si>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</si>
  <si>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</si>
  <si>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</si>
  <si>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</si>
  <si>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</si>
  <si>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</si>
  <si>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</si>
  <si>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</si>
  <si>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</si>
  <si>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</si>
  <si>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</si>
  <si>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</si>
  <si>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</si>
  <si>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</si>
  <si>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</si>
  <si>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</si>
  <si>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</si>
  <si>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</si>
  <si>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</si>
  <si>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</si>
  <si>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</si>
  <si>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</si>
  <si>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</si>
  <si>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</si>
  <si>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</si>
  <si>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</si>
  <si>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</si>
  <si>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</si>
  <si>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</si>
  <si>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</si>
  <si>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</si>
  <si>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</si>
  <si>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</si>
  <si>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</si>
  <si>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</si>
  <si>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</si>
  <si>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</si>
  <si>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</si>
  <si>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</si>
  <si>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</si>
  <si>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</si>
  <si>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</si>
  <si>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</si>
  <si>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</si>
  <si>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</si>
  <si>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</si>
  <si>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</si>
  <si>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</si>
  <si>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</si>
  <si>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</si>
  <si>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</si>
  <si>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</si>
  <si>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</si>
  <si>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</si>
  <si>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</si>
  <si>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</si>
  <si>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</si>
  <si>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</si>
  <si>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</si>
  <si>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</si>
  <si>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</si>
  <si>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</si>
  <si>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</si>
  <si>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</si>
  <si>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</si>
  <si>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</si>
  <si>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</si>
  <si>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</si>
  <si>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</si>
  <si>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</si>
  <si>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</si>
  <si>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</si>
  <si>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</si>
  <si>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</si>
  <si>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</si>
  <si>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</si>
  <si>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</si>
  <si>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</si>
  <si>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</si>
  <si>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</si>
  <si>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</si>
  <si>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</si>
  <si>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</si>
  <si>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</si>
  <si>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</si>
  <si>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</si>
  <si>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</si>
  <si>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</si>
  <si>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</si>
  <si>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</si>
  <si>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</si>
  <si>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</si>
  <si>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</si>
  <si>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</si>
  <si>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</si>
  <si>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</si>
  <si>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</si>
  <si>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</si>
  <si>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</si>
  <si>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</si>
  <si>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</si>
  <si>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</si>
  <si>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</si>
  <si>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</si>
  <si>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</si>
  <si>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</si>
  <si>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</si>
  <si>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</si>
  <si>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</si>
  <si>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</si>
  <si>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</si>
  <si>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</si>
  <si>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</si>
  <si>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</si>
  <si>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</si>
  <si>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</si>
  <si>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</si>
  <si>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</si>
  <si>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</si>
  <si>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</si>
  <si>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</si>
  <si>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</si>
  <si>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</si>
  <si>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</si>
  <si>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</si>
  <si>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</si>
  <si>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</si>
  <si>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</si>
  <si>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</si>
  <si>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</si>
  <si>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</si>
  <si>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</si>
  <si>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</si>
  <si>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</si>
  <si>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</si>
  <si>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</si>
  <si>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</si>
  <si>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</si>
  <si>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</si>
  <si>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</si>
  <si>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</si>
  <si>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</si>
  <si>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</si>
  <si>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</si>
  <si>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</si>
  <si>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</si>
  <si>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</si>
  <si>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</si>
  <si>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</si>
  <si>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</si>
  <si>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</si>
  <si>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</si>
  <si>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</si>
  <si>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</si>
  <si>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</si>
  <si>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</si>
  <si>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</si>
  <si>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</si>
  <si>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</si>
  <si>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</si>
  <si>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</si>
  <si>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</si>
  <si>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</si>
  <si>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</si>
  <si>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</si>
  <si>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</si>
  <si>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</si>
  <si>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</si>
  <si>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</si>
  <si>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</si>
  <si>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</si>
  <si>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</si>
  <si>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</si>
  <si>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</si>
  <si>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</si>
  <si>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</si>
  <si>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</si>
  <si>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</si>
  <si>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</si>
  <si>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</si>
  <si>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</si>
  <si>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</si>
  <si>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</si>
  <si>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</si>
  <si>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</si>
  <si>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</si>
  <si>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</si>
  <si>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</si>
  <si>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</si>
  <si>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</si>
  <si>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</si>
  <si>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</si>
  <si>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</si>
  <si>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</si>
  <si>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</si>
  <si>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</si>
  <si>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</si>
  <si>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</si>
  <si>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</si>
  <si>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</si>
  <si>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</si>
  <si>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</si>
  <si>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</si>
  <si>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</si>
  <si>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</si>
  <si>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</si>
  <si>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</si>
  <si>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</si>
  <si>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</si>
  <si>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</si>
  <si>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</si>
  <si>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</si>
  <si>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</si>
  <si>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</si>
  <si>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</si>
  <si>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</si>
  <si>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</si>
  <si>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</si>
  <si>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</si>
  <si>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</si>
  <si>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</si>
  <si>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</si>
  <si>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</si>
  <si>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</si>
  <si>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</si>
  <si>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</si>
  <si>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</si>
  <si>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</si>
  <si>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</si>
  <si>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</si>
  <si>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</si>
  <si>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</si>
  <si>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</si>
  <si>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</si>
  <si>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</si>
  <si>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</si>
  <si>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</si>
  <si>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</si>
  <si>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</si>
  <si>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</si>
  <si>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</si>
  <si>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</si>
  <si>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</si>
  <si>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</si>
  <si>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</si>
  <si>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</si>
  <si>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</si>
  <si>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</si>
  <si>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</si>
  <si>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</si>
  <si>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</si>
  <si>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</si>
  <si>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</si>
  <si>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</si>
  <si>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</si>
  <si>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</si>
  <si>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</si>
  <si>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</si>
  <si>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</si>
  <si>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</si>
  <si>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</si>
  <si>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</si>
  <si>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</si>
  <si>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</si>
  <si>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</si>
  <si>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</si>
  <si>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</si>
  <si>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</si>
  <si>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</si>
  <si>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</si>
  <si>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</si>
  <si>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</si>
  <si>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</si>
  <si>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</si>
  <si>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</si>
  <si>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</si>
  <si>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</si>
  <si>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</si>
  <si>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</si>
  <si>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</si>
  <si>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</si>
  <si>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</si>
  <si>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</si>
  <si>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</si>
  <si>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</si>
  <si>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</si>
  <si>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</si>
  <si>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</si>
  <si>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</si>
  <si>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</si>
  <si>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</si>
  <si>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</si>
  <si>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</si>
  <si>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</si>
  <si>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</si>
  <si>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</si>
  <si>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</si>
  <si>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</si>
  <si>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</si>
  <si>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</si>
  <si>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</si>
  <si>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</si>
  <si>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</si>
  <si>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</si>
  <si>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</si>
  <si>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</si>
  <si>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</si>
  <si>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</si>
  <si>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</si>
  <si>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</si>
  <si>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</si>
  <si>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</si>
  <si>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</si>
  <si>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</si>
  <si>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</si>
  <si>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</si>
  <si>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</si>
  <si>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</si>
  <si>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</si>
  <si>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</si>
  <si>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</si>
  <si>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</si>
  <si>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</si>
  <si>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</si>
  <si>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</si>
  <si>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</si>
  <si>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</si>
  <si>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</si>
  <si>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</si>
  <si>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</si>
  <si>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</si>
  <si>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</si>
  <si>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</si>
  <si>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</si>
  <si>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</si>
  <si>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</si>
  <si>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</si>
  <si>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</si>
  <si>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</si>
  <si>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</si>
  <si>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</si>
  <si>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</si>
  <si>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</si>
  <si>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</si>
  <si>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</si>
  <si>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</si>
  <si>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</si>
  <si>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</si>
  <si>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</si>
  <si>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</si>
  <si>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</si>
  <si>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</si>
  <si>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</si>
  <si>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</si>
  <si>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</si>
  <si>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</si>
  <si>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</si>
  <si>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</si>
  <si>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</si>
  <si>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4.ЗММ Любимец АД Любимец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</si>
  <si>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</si>
  <si>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</si>
  <si>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</si>
  <si>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</si>
  <si>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</si>
  <si>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2. Булгар Комерс 2004</t>
  </si>
  <si>
    <t>5. Инвестиционни бонове- остатък масова приват</t>
  </si>
  <si>
    <t xml:space="preserve"> 2008 г. 31.12 - ГОДИШЕН</t>
  </si>
  <si>
    <t>Дата на съставяне: 17.04.2009 г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</si>
</sst>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49" fontId="4" fillId="0" borderId="0" xfId="25" applyNumberFormat="1" applyFont="1" applyAlignment="1" applyProtection="1">
      <alignment horizontal="left" vertical="center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Alignment="1" applyProtection="1">
      <alignment wrapText="1"/>
      <protection locked="0"/>
    </xf>
    <xf numFmtId="0" fontId="28" fillId="0" borderId="1" xfId="22" applyFont="1" applyBorder="1" applyAlignment="1" applyProtection="1">
      <alignment horizontal="left" vertical="center" wrapText="1"/>
      <protection locked="0"/>
    </xf>
    <xf numFmtId="2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1" fontId="11" fillId="0" borderId="0" xfId="29" applyNumberFormat="1" applyFont="1" applyFill="1" applyAlignment="1" applyProtection="1">
      <alignment wrapText="1"/>
      <protection locked="0"/>
    </xf>
    <xf numFmtId="1" fontId="10" fillId="0" borderId="0" xfId="28" applyNumberFormat="1" applyFont="1" applyAlignment="1" applyProtection="1">
      <alignment vertical="top" wrapText="1"/>
      <protection locked="0"/>
    </xf>
    <xf numFmtId="3" fontId="12" fillId="0" borderId="0" xfId="28" applyNumberFormat="1" applyFont="1" applyFill="1" applyAlignment="1" applyProtection="1">
      <alignment horizontal="right" vertical="top" wrapText="1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7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0" fontId="4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6" applyFont="1" applyAlignment="1" applyProtection="1">
      <alignment horizontal="left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5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5">
      <selection activeCell="C96" sqref="C96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861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862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873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188</v>
      </c>
      <c r="D11" s="204">
        <v>192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2357</v>
      </c>
      <c r="D12" s="204">
        <v>2534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180</v>
      </c>
      <c r="D13" s="204">
        <v>112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688</v>
      </c>
      <c r="D14" s="204">
        <v>716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42</v>
      </c>
      <c r="D15" s="204">
        <v>32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120</v>
      </c>
      <c r="D16" s="204">
        <v>126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52</v>
      </c>
      <c r="D17" s="204">
        <v>55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25</v>
      </c>
      <c r="D18" s="204">
        <v>28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3652</v>
      </c>
      <c r="D19" s="208">
        <f>SUM(D11:D18)</f>
        <v>3795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>
        <v>2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3464</v>
      </c>
      <c r="H21" s="209">
        <f>SUM(H22:H24)</f>
        <v>3501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1953</v>
      </c>
      <c r="H22" s="205">
        <v>783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5</v>
      </c>
      <c r="D24" s="204">
        <v>7</v>
      </c>
      <c r="E24" s="292" t="s">
        <v>72</v>
      </c>
      <c r="F24" s="297" t="s">
        <v>73</v>
      </c>
      <c r="G24" s="205">
        <v>1511</v>
      </c>
      <c r="H24" s="205">
        <v>2718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3464</v>
      </c>
      <c r="H25" s="207">
        <f>H19+H20+H21</f>
        <v>3503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2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5</v>
      </c>
      <c r="D27" s="208">
        <f>SUM(D23:D26)</f>
        <v>9</v>
      </c>
      <c r="E27" s="308" t="s">
        <v>83</v>
      </c>
      <c r="F27" s="297" t="s">
        <v>84</v>
      </c>
      <c r="G27" s="207">
        <f>SUM(G28:G30)</f>
        <v>1009</v>
      </c>
      <c r="H27" s="207">
        <f>SUM(H28:H30)</f>
        <v>328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1876</v>
      </c>
      <c r="H28" s="205">
        <v>1285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-867</v>
      </c>
      <c r="H29" s="390">
        <v>-957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574.2507820000001</v>
      </c>
      <c r="H31" s="205">
        <v>711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1583.250782</v>
      </c>
      <c r="H33" s="207">
        <f>H27+H31+H32</f>
        <v>1039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505</v>
      </c>
      <c r="D34" s="208">
        <f>SUM(D35:D38)</f>
        <v>522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6238.250782</v>
      </c>
      <c r="H36" s="207">
        <f>H25+H17+H33</f>
        <v>5733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459</v>
      </c>
      <c r="D37" s="204">
        <v>476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46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968.270776332812</v>
      </c>
      <c r="H39" s="211">
        <v>729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146</v>
      </c>
      <c r="H43" s="205">
        <v>166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38</v>
      </c>
      <c r="H44" s="205">
        <v>2</v>
      </c>
    </row>
    <row r="45" spans="1:15" ht="15">
      <c r="A45" s="290" t="s">
        <v>136</v>
      </c>
      <c r="B45" s="304" t="s">
        <v>137</v>
      </c>
      <c r="C45" s="208">
        <f>C34+C39+C44</f>
        <v>513</v>
      </c>
      <c r="D45" s="208">
        <f>D34+D39+D44</f>
        <v>530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60</v>
      </c>
      <c r="H46" s="205">
        <v>216</v>
      </c>
    </row>
    <row r="47" spans="1:13" ht="15">
      <c r="A47" s="290" t="s">
        <v>143</v>
      </c>
      <c r="B47" s="296" t="s">
        <v>144</v>
      </c>
      <c r="C47" s="204">
        <v>729</v>
      </c>
      <c r="D47" s="204">
        <v>819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418</v>
      </c>
      <c r="D48" s="204">
        <v>199</v>
      </c>
      <c r="E48" s="292" t="s">
        <v>149</v>
      </c>
      <c r="F48" s="297" t="s">
        <v>150</v>
      </c>
      <c r="G48" s="205">
        <v>26</v>
      </c>
      <c r="H48" s="205">
        <v>3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270</v>
      </c>
      <c r="H49" s="207">
        <f>SUM(H43:H48)</f>
        <v>387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1149</v>
      </c>
      <c r="D51" s="208">
        <f>SUM(D47:D50)</f>
        <v>1019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2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5424</v>
      </c>
      <c r="D55" s="208">
        <f>D19+D20+D21+D27+D32+D45+D51+D53+D54</f>
        <v>5454</v>
      </c>
      <c r="E55" s="292" t="s">
        <v>172</v>
      </c>
      <c r="F55" s="316" t="s">
        <v>173</v>
      </c>
      <c r="G55" s="207">
        <f>G49+G51+G52+G53+G54</f>
        <v>270</v>
      </c>
      <c r="H55" s="207">
        <f>H49+H51+H52+H53+H54</f>
        <v>387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788</v>
      </c>
      <c r="D58" s="204">
        <v>597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377</v>
      </c>
      <c r="D59" s="204">
        <v>283</v>
      </c>
      <c r="E59" s="306" t="s">
        <v>181</v>
      </c>
      <c r="F59" s="297" t="s">
        <v>182</v>
      </c>
      <c r="G59" s="205">
        <v>145</v>
      </c>
      <c r="H59" s="205">
        <v>146</v>
      </c>
      <c r="M59" s="210"/>
    </row>
    <row r="60" spans="1:8" ht="15">
      <c r="A60" s="290" t="s">
        <v>183</v>
      </c>
      <c r="B60" s="296" t="s">
        <v>184</v>
      </c>
      <c r="C60" s="204">
        <v>40</v>
      </c>
      <c r="D60" s="204">
        <v>48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546</v>
      </c>
      <c r="D61" s="204">
        <v>421</v>
      </c>
      <c r="E61" s="298" t="s">
        <v>189</v>
      </c>
      <c r="F61" s="327" t="s">
        <v>190</v>
      </c>
      <c r="G61" s="207">
        <f>SUM(G62:G68)</f>
        <v>1810</v>
      </c>
      <c r="H61" s="207">
        <f>SUM(H62:H68)</f>
        <v>1769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189</v>
      </c>
      <c r="H62" s="205">
        <v>19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408</v>
      </c>
      <c r="H63" s="205">
        <v>323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1751</v>
      </c>
      <c r="D64" s="208">
        <f>SUM(D58:D63)</f>
        <v>1349</v>
      </c>
      <c r="E64" s="292" t="s">
        <v>200</v>
      </c>
      <c r="F64" s="297" t="s">
        <v>201</v>
      </c>
      <c r="G64" s="205">
        <v>783</v>
      </c>
      <c r="H64" s="205">
        <v>645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29</v>
      </c>
      <c r="H65" s="205">
        <v>369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235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78</v>
      </c>
      <c r="D67" s="204">
        <v>42</v>
      </c>
      <c r="E67" s="292" t="s">
        <v>209</v>
      </c>
      <c r="F67" s="297" t="s">
        <v>210</v>
      </c>
      <c r="G67" s="205">
        <v>26</v>
      </c>
      <c r="H67" s="205">
        <v>27</v>
      </c>
    </row>
    <row r="68" spans="1:8" ht="15">
      <c r="A68" s="290" t="s">
        <v>211</v>
      </c>
      <c r="B68" s="296" t="s">
        <v>212</v>
      </c>
      <c r="C68" s="204">
        <f>1628-379</f>
        <v>1249</v>
      </c>
      <c r="D68" s="204">
        <v>716</v>
      </c>
      <c r="E68" s="292" t="s">
        <v>213</v>
      </c>
      <c r="F68" s="297" t="s">
        <v>214</v>
      </c>
      <c r="G68" s="205">
        <v>140</v>
      </c>
      <c r="H68" s="205">
        <v>151</v>
      </c>
    </row>
    <row r="69" spans="1:8" ht="15">
      <c r="A69" s="290" t="s">
        <v>215</v>
      </c>
      <c r="B69" s="296" t="s">
        <v>216</v>
      </c>
      <c r="C69" s="204">
        <v>3</v>
      </c>
      <c r="D69" s="204">
        <v>9</v>
      </c>
      <c r="E69" s="306" t="s">
        <v>78</v>
      </c>
      <c r="F69" s="297" t="s">
        <v>217</v>
      </c>
      <c r="G69" s="205">
        <v>265</v>
      </c>
      <c r="H69" s="205">
        <v>133</v>
      </c>
    </row>
    <row r="70" spans="1:8" ht="15">
      <c r="A70" s="290" t="s">
        <v>218</v>
      </c>
      <c r="B70" s="296" t="s">
        <v>219</v>
      </c>
      <c r="C70" s="204">
        <v>41</v>
      </c>
      <c r="D70" s="204">
        <v>244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2220</v>
      </c>
      <c r="H71" s="214">
        <f>H59+H60+H61+H69+H70</f>
        <v>2048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77</v>
      </c>
      <c r="D72" s="204">
        <v>166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500</v>
      </c>
      <c r="D74" s="204">
        <v>324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1948</v>
      </c>
      <c r="D75" s="208">
        <f>SUM(D67:D74)</f>
        <v>1501</v>
      </c>
      <c r="E75" s="306" t="s">
        <v>160</v>
      </c>
      <c r="F75" s="300" t="s">
        <v>234</v>
      </c>
      <c r="G75" s="205">
        <v>204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2424</v>
      </c>
      <c r="H79" s="215">
        <f>H71+H74+H75+H76</f>
        <v>2252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100</v>
      </c>
      <c r="D87" s="204">
        <v>68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654</v>
      </c>
      <c r="D88" s="204">
        <v>715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754</v>
      </c>
      <c r="D91" s="208">
        <f>SUM(D87:D90)</f>
        <v>783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4477</v>
      </c>
      <c r="D93" s="208">
        <f>D64+D75+D84+D91+D92</f>
        <v>3647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9901</v>
      </c>
      <c r="D94" s="217">
        <f>D93+D55</f>
        <v>9101</v>
      </c>
      <c r="E94" s="556" t="s">
        <v>270</v>
      </c>
      <c r="F94" s="344" t="s">
        <v>271</v>
      </c>
      <c r="G94" s="218">
        <f>G36+G39+G55+G79</f>
        <v>9900.521558332812</v>
      </c>
      <c r="H94" s="218">
        <f>H36+H39+H55+H79</f>
        <v>9101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-0.47844166718823544</v>
      </c>
      <c r="H97" s="225"/>
      <c r="M97" s="210"/>
    </row>
    <row r="98" spans="1:13" ht="15">
      <c r="A98" s="78" t="s">
        <v>874</v>
      </c>
      <c r="B98" s="538"/>
      <c r="C98" s="607" t="s">
        <v>819</v>
      </c>
      <c r="D98" s="607"/>
      <c r="E98" s="607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7" t="s">
        <v>781</v>
      </c>
      <c r="D100" s="608"/>
      <c r="E100" s="608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5" bottom="0.38" header="0.25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362"/>
  <sheetViews>
    <sheetView workbookViewId="0" topLeftCell="A6">
      <selection activeCell="C31" sqref="C3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1" t="s">
        <v>2</v>
      </c>
      <c r="G2" s="611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2008 г. 31.12 - ГОДИШЕН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1353</v>
      </c>
      <c r="D9" s="79">
        <v>1490</v>
      </c>
      <c r="E9" s="362" t="s">
        <v>283</v>
      </c>
      <c r="F9" s="364" t="s">
        <v>284</v>
      </c>
      <c r="G9" s="87">
        <v>2535</v>
      </c>
      <c r="H9" s="87">
        <v>2407</v>
      </c>
    </row>
    <row r="10" spans="1:8" ht="12">
      <c r="A10" s="362" t="s">
        <v>285</v>
      </c>
      <c r="B10" s="363" t="s">
        <v>286</v>
      </c>
      <c r="C10" s="79">
        <v>436</v>
      </c>
      <c r="D10" s="79">
        <v>1890</v>
      </c>
      <c r="E10" s="362" t="s">
        <v>287</v>
      </c>
      <c r="F10" s="364" t="s">
        <v>288</v>
      </c>
      <c r="G10" s="87">
        <v>334</v>
      </c>
      <c r="H10" s="87">
        <v>438</v>
      </c>
    </row>
    <row r="11" spans="1:8" ht="12">
      <c r="A11" s="362" t="s">
        <v>289</v>
      </c>
      <c r="B11" s="363" t="s">
        <v>290</v>
      </c>
      <c r="C11" s="79">
        <v>167</v>
      </c>
      <c r="D11" s="79">
        <v>117</v>
      </c>
      <c r="E11" s="365" t="s">
        <v>291</v>
      </c>
      <c r="F11" s="364" t="s">
        <v>292</v>
      </c>
      <c r="G11" s="87">
        <v>204</v>
      </c>
      <c r="H11" s="87">
        <v>321</v>
      </c>
    </row>
    <row r="12" spans="1:8" ht="12">
      <c r="A12" s="362" t="s">
        <v>293</v>
      </c>
      <c r="B12" s="363" t="s">
        <v>294</v>
      </c>
      <c r="C12" s="79">
        <v>748</v>
      </c>
      <c r="D12" s="79">
        <v>677</v>
      </c>
      <c r="E12" s="365" t="s">
        <v>78</v>
      </c>
      <c r="F12" s="364" t="s">
        <v>295</v>
      </c>
      <c r="G12" s="87">
        <v>1380</v>
      </c>
      <c r="H12" s="87">
        <v>1187</v>
      </c>
    </row>
    <row r="13" spans="1:18" ht="12">
      <c r="A13" s="362" t="s">
        <v>296</v>
      </c>
      <c r="B13" s="363" t="s">
        <v>297</v>
      </c>
      <c r="C13" s="79">
        <v>147</v>
      </c>
      <c r="D13" s="79">
        <v>155</v>
      </c>
      <c r="E13" s="366" t="s">
        <v>51</v>
      </c>
      <c r="F13" s="367" t="s">
        <v>298</v>
      </c>
      <c r="G13" s="88">
        <f>SUM(G9:G12)</f>
        <v>4453</v>
      </c>
      <c r="H13" s="88">
        <f>SUM(H9:H12)</f>
        <v>4353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623</v>
      </c>
      <c r="D14" s="79">
        <v>413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-228</v>
      </c>
      <c r="D15" s="80">
        <v>-1423</v>
      </c>
      <c r="E15" s="360" t="s">
        <v>303</v>
      </c>
      <c r="F15" s="369" t="s">
        <v>304</v>
      </c>
      <c r="G15" s="87"/>
      <c r="H15" s="87">
        <v>5</v>
      </c>
    </row>
    <row r="16" spans="1:8" ht="12">
      <c r="A16" s="362" t="s">
        <v>305</v>
      </c>
      <c r="B16" s="363" t="s">
        <v>306</v>
      </c>
      <c r="C16" s="80">
        <v>111</v>
      </c>
      <c r="D16" s="80">
        <v>84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3357</v>
      </c>
      <c r="D19" s="82">
        <f>SUM(D9:D15)+D16</f>
        <v>3403</v>
      </c>
      <c r="E19" s="372" t="s">
        <v>315</v>
      </c>
      <c r="F19" s="368" t="s">
        <v>316</v>
      </c>
      <c r="G19" s="87">
        <v>133</v>
      </c>
      <c r="H19" s="87">
        <v>123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54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83</v>
      </c>
      <c r="D22" s="79">
        <v>89</v>
      </c>
      <c r="E22" s="372" t="s">
        <v>324</v>
      </c>
      <c r="F22" s="368" t="s">
        <v>325</v>
      </c>
      <c r="G22" s="87">
        <v>3</v>
      </c>
      <c r="H22" s="87"/>
    </row>
    <row r="23" spans="1:8" ht="24">
      <c r="A23" s="362" t="s">
        <v>326</v>
      </c>
      <c r="B23" s="374" t="s">
        <v>327</v>
      </c>
      <c r="C23" s="79">
        <v>0</v>
      </c>
      <c r="D23" s="79">
        <v>169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13</v>
      </c>
      <c r="D24" s="79">
        <v>28</v>
      </c>
      <c r="E24" s="366" t="s">
        <v>103</v>
      </c>
      <c r="F24" s="369" t="s">
        <v>332</v>
      </c>
      <c r="G24" s="88">
        <f>SUM(G19:G23)</f>
        <v>190</v>
      </c>
      <c r="H24" s="88">
        <f>SUM(H19:H23)</f>
        <v>123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17</v>
      </c>
      <c r="D25" s="79">
        <v>24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113</v>
      </c>
      <c r="D26" s="82">
        <f>SUM(D22:D25)</f>
        <v>310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3470</v>
      </c>
      <c r="D28" s="83">
        <f>D26+D19</f>
        <v>3713</v>
      </c>
      <c r="E28" s="173" t="s">
        <v>337</v>
      </c>
      <c r="F28" s="369" t="s">
        <v>338</v>
      </c>
      <c r="G28" s="88">
        <f>G13+G15+G24</f>
        <v>4643</v>
      </c>
      <c r="H28" s="88">
        <f>H13+H15+H24</f>
        <v>4481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1173</v>
      </c>
      <c r="D30" s="83">
        <f>IF((H28-D28)&gt;0,H28-D28,0)</f>
        <v>768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488.749218</v>
      </c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3958.749218</v>
      </c>
      <c r="D33" s="82">
        <f>D28+D31+D32</f>
        <v>3713</v>
      </c>
      <c r="E33" s="173" t="s">
        <v>351</v>
      </c>
      <c r="F33" s="369" t="s">
        <v>352</v>
      </c>
      <c r="G33" s="90">
        <f>G32+G31+G28</f>
        <v>4643</v>
      </c>
      <c r="H33" s="90">
        <f>H32+H31+H28</f>
        <v>4481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684.2507820000001</v>
      </c>
      <c r="D34" s="83">
        <f>IF((H33-D33)&gt;0,H33-D33,0)</f>
        <v>768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110</v>
      </c>
      <c r="D35" s="82">
        <f>D36+D37+D38</f>
        <v>57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123</v>
      </c>
      <c r="D36" s="79">
        <v>71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-13</v>
      </c>
      <c r="D37" s="536">
        <v>-17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>
        <v>0</v>
      </c>
      <c r="D38" s="599">
        <v>3</v>
      </c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574.2507820000001</v>
      </c>
      <c r="D39" s="568">
        <f>+IF((H33-D33-D35)&gt;0,H33-D33-D35,0)</f>
        <v>711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239.270776332812</v>
      </c>
      <c r="D40" s="84">
        <f>D39*0.416666</f>
        <v>296.249526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334.98000566718804</v>
      </c>
      <c r="D41" s="85">
        <f>IF(H39=0,IF(D39-D40&gt;0,D39-D40+H40,0),IF(H39-H40&lt;0,H40-H39+D39,0))</f>
        <v>414.750474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4643</v>
      </c>
      <c r="D42" s="86">
        <f>D33+D35+D39</f>
        <v>4481</v>
      </c>
      <c r="E42" s="176" t="s">
        <v>378</v>
      </c>
      <c r="F42" s="177" t="s">
        <v>379</v>
      </c>
      <c r="G42" s="90">
        <f>G39+G33</f>
        <v>4643</v>
      </c>
      <c r="H42" s="90">
        <f>H39+H33</f>
        <v>4481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9"/>
      <c r="E44" s="609"/>
      <c r="F44" s="609"/>
      <c r="G44" s="609"/>
      <c r="H44" s="609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10"/>
      <c r="E46" s="610"/>
      <c r="F46" s="610"/>
      <c r="G46" s="610"/>
      <c r="H46" s="610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54" sqref="C54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2008 г. 31.12 - ГОДИШЕН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2782-5</f>
        <v>2777</v>
      </c>
      <c r="D10" s="92">
        <v>4532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-2541</v>
      </c>
      <c r="D11" s="92">
        <v>-3642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-901</v>
      </c>
      <c r="D13" s="92">
        <v>-934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91</v>
      </c>
      <c r="D14" s="92">
        <v>107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-127</v>
      </c>
      <c r="D15" s="92">
        <v>-9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31</v>
      </c>
      <c r="D16" s="92">
        <v>35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-33</v>
      </c>
      <c r="D17" s="92">
        <v>-57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-11</v>
      </c>
      <c r="D18" s="92">
        <v>-26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-69</v>
      </c>
      <c r="D19" s="92">
        <v>-24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-783</v>
      </c>
      <c r="D20" s="93">
        <f>SUM(D10:D19)</f>
        <v>-18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f>-204-85</f>
        <v>-289</v>
      </c>
      <c r="D22" s="92">
        <v>-23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976</v>
      </c>
      <c r="D23" s="92">
        <v>76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-33</v>
      </c>
      <c r="D24" s="92">
        <v>-130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18</v>
      </c>
      <c r="D25" s="92">
        <v>75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3</v>
      </c>
      <c r="D26" s="92">
        <v>-4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-10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17</v>
      </c>
      <c r="D28" s="92">
        <v>12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7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-33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692</v>
      </c>
      <c r="D32" s="93">
        <f>SUM(D22:D31)</f>
        <v>-30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400</v>
      </c>
      <c r="D36" s="92">
        <v>709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-436</v>
      </c>
      <c r="D37" s="92">
        <v>-595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-3</v>
      </c>
      <c r="D38" s="92">
        <v>-18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19</v>
      </c>
      <c r="D39" s="92">
        <v>-8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>
        <v>-4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82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62</v>
      </c>
      <c r="D42" s="93">
        <f>SUM(D34:D41)</f>
        <v>80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-29</v>
      </c>
      <c r="D43" s="93">
        <f>D42+D32+D20</f>
        <v>32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783</v>
      </c>
      <c r="D44" s="183">
        <v>751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754</v>
      </c>
      <c r="D45" s="93">
        <f>D44+D43</f>
        <v>783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№1-БАЛАНС'!C91</f>
        <v>754</v>
      </c>
      <c r="D46" s="94">
        <f>'справка №1-БАЛАНС'!D91</f>
        <v>783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C45-C46</f>
        <v>0</v>
      </c>
      <c r="D49" s="602">
        <f>D45-D46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17.04.2009 г</v>
      </c>
      <c r="B50" s="543" t="s">
        <v>381</v>
      </c>
      <c r="C50" s="612"/>
      <c r="D50" s="612"/>
      <c r="G50" s="185"/>
      <c r="H50" s="185"/>
    </row>
    <row r="51" spans="1:8" ht="12">
      <c r="A51" s="544"/>
      <c r="B51" s="544"/>
      <c r="C51" s="541"/>
      <c r="D51" s="541"/>
      <c r="G51" s="185"/>
      <c r="H51" s="185"/>
    </row>
    <row r="52" spans="1:8" ht="12">
      <c r="A52" s="544"/>
      <c r="B52" s="543" t="s">
        <v>781</v>
      </c>
      <c r="C52" s="612"/>
      <c r="D52" s="612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J33" sqref="J3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Булгар Чех Инвест Холдинг АД - Смолян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5" t="str">
        <f>'справка №1-БАЛАНС'!E4</f>
        <v>КОНСОЛИДИРАН </v>
      </c>
      <c r="D4" s="615"/>
      <c r="E4" s="617"/>
      <c r="F4" s="615"/>
      <c r="G4" s="615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5" t="str">
        <f>'справка №1-БАЛАНС'!E5</f>
        <v> 2008 г. 31.12 - ГОДИШЕН</v>
      </c>
      <c r="D5" s="616"/>
      <c r="E5" s="616"/>
      <c r="F5" s="616"/>
      <c r="G5" s="616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2</v>
      </c>
      <c r="F11" s="96">
        <f>'справка №1-БАЛАНС'!H22</f>
        <v>783</v>
      </c>
      <c r="G11" s="96">
        <f>'справка №1-БАЛАНС'!H23</f>
        <v>0</v>
      </c>
      <c r="H11" s="98">
        <v>2718</v>
      </c>
      <c r="I11" s="96">
        <f>'справка №1-БАЛАНС'!H28+'справка №1-БАЛАНС'!H31</f>
        <v>1996</v>
      </c>
      <c r="J11" s="96">
        <f>'справка №1-БАЛАНС'!H29+'справка №1-БАЛАНС'!H32</f>
        <v>-957</v>
      </c>
      <c r="K11" s="98"/>
      <c r="L11" s="423">
        <f>SUM(C11:K11)</f>
        <v>5733</v>
      </c>
      <c r="M11" s="96">
        <f>'справка №1-БАЛАНС'!H39</f>
        <v>729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2</v>
      </c>
      <c r="F15" s="99">
        <f t="shared" si="2"/>
        <v>783</v>
      </c>
      <c r="G15" s="99">
        <f t="shared" si="2"/>
        <v>0</v>
      </c>
      <c r="H15" s="99">
        <f t="shared" si="2"/>
        <v>2718</v>
      </c>
      <c r="I15" s="99">
        <f t="shared" si="2"/>
        <v>1996</v>
      </c>
      <c r="J15" s="99">
        <f t="shared" si="2"/>
        <v>-957</v>
      </c>
      <c r="K15" s="99">
        <f t="shared" si="2"/>
        <v>0</v>
      </c>
      <c r="L15" s="423">
        <f t="shared" si="1"/>
        <v>5733</v>
      </c>
      <c r="M15" s="99">
        <f t="shared" si="2"/>
        <v>729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574.2507820000001</v>
      </c>
      <c r="J16" s="424">
        <f>+'справка №1-БАЛАНС'!G32</f>
        <v>0</v>
      </c>
      <c r="K16" s="98"/>
      <c r="L16" s="423">
        <f t="shared" si="1"/>
        <v>574.2507820000001</v>
      </c>
      <c r="M16" s="98">
        <f>'справка №2-ОТЧЕТ ЗА ДОХОДИТE'!C40+('справка №2-ОТЧЕТ ЗА ДОХОДИТE'!G40*-1)</f>
        <v>239.270776332812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1115</v>
      </c>
      <c r="G17" s="100">
        <f t="shared" si="3"/>
        <v>0</v>
      </c>
      <c r="H17" s="100">
        <f t="shared" si="3"/>
        <v>-1209</v>
      </c>
      <c r="I17" s="100">
        <f t="shared" si="3"/>
        <v>-120</v>
      </c>
      <c r="J17" s="100">
        <f>J18+J19</f>
        <v>90</v>
      </c>
      <c r="K17" s="100">
        <f t="shared" si="3"/>
        <v>0</v>
      </c>
      <c r="L17" s="423">
        <f t="shared" si="1"/>
        <v>-124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>
        <f>1168-53</f>
        <v>1115</v>
      </c>
      <c r="G18" s="98"/>
      <c r="H18" s="98">
        <f>-1168-41</f>
        <v>-1209</v>
      </c>
      <c r="I18" s="98">
        <v>-120</v>
      </c>
      <c r="J18" s="98">
        <v>41</v>
      </c>
      <c r="K18" s="98"/>
      <c r="L18" s="423">
        <f t="shared" si="1"/>
        <v>-173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>
        <v>49</v>
      </c>
      <c r="K19" s="98"/>
      <c r="L19" s="423">
        <f t="shared" si="1"/>
        <v>49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-2</v>
      </c>
      <c r="F28" s="98">
        <f>53+2</f>
        <v>55</v>
      </c>
      <c r="G28" s="98"/>
      <c r="H28" s="98">
        <v>2</v>
      </c>
      <c r="I28" s="98"/>
      <c r="J28" s="98"/>
      <c r="K28" s="98"/>
      <c r="L28" s="423">
        <f t="shared" si="1"/>
        <v>55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1953</v>
      </c>
      <c r="G29" s="97">
        <f t="shared" si="6"/>
        <v>0</v>
      </c>
      <c r="H29" s="97">
        <f t="shared" si="6"/>
        <v>1511</v>
      </c>
      <c r="I29" s="97">
        <f t="shared" si="6"/>
        <v>2450.250782</v>
      </c>
      <c r="J29" s="97">
        <f t="shared" si="6"/>
        <v>-867</v>
      </c>
      <c r="K29" s="97">
        <f t="shared" si="6"/>
        <v>0</v>
      </c>
      <c r="L29" s="423">
        <f t="shared" si="1"/>
        <v>6238.250782</v>
      </c>
      <c r="M29" s="97">
        <f t="shared" si="6"/>
        <v>968.270776332812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1953</v>
      </c>
      <c r="G32" s="97">
        <f t="shared" si="7"/>
        <v>0</v>
      </c>
      <c r="H32" s="97">
        <f t="shared" si="7"/>
        <v>1511</v>
      </c>
      <c r="I32" s="97">
        <f t="shared" si="7"/>
        <v>2450.250782</v>
      </c>
      <c r="J32" s="97">
        <f t="shared" si="7"/>
        <v>-867</v>
      </c>
      <c r="K32" s="97">
        <f t="shared" si="7"/>
        <v>0</v>
      </c>
      <c r="L32" s="423">
        <f t="shared" si="1"/>
        <v>6238.250782</v>
      </c>
      <c r="M32" s="97">
        <f>M29+M30+M31</f>
        <v>968.270776332812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0" t="str">
        <f>'справка №1-БАЛАНС'!A98</f>
        <v>Дата на съставяне: 17.04.2009 г</v>
      </c>
      <c r="B35" s="37"/>
      <c r="C35" s="24"/>
      <c r="D35" s="614" t="s">
        <v>521</v>
      </c>
      <c r="E35" s="614"/>
      <c r="F35" s="614"/>
      <c r="G35" s="614"/>
      <c r="H35" s="614"/>
      <c r="I35" s="614"/>
      <c r="J35" s="24" t="s">
        <v>857</v>
      </c>
      <c r="K35" s="24"/>
      <c r="L35" s="614"/>
      <c r="M35" s="614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H13" sqref="H1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8" t="s">
        <v>383</v>
      </c>
      <c r="B2" s="619"/>
      <c r="C2" s="583"/>
      <c r="D2" s="583"/>
      <c r="E2" s="615" t="str">
        <f>'справка №1-БАЛАНС'!E3</f>
        <v>Булгар Чех Инвест Холдинг АД - Смолян</v>
      </c>
      <c r="F2" s="620"/>
      <c r="G2" s="620"/>
      <c r="H2" s="583"/>
      <c r="I2" s="440"/>
      <c r="J2" s="440"/>
      <c r="K2" s="440"/>
      <c r="L2" s="440"/>
      <c r="M2" s="622" t="s">
        <v>2</v>
      </c>
      <c r="N2" s="603"/>
      <c r="O2" s="603"/>
      <c r="P2" s="604">
        <f>'справка №1-БАЛАНС'!H3</f>
        <v>0</v>
      </c>
      <c r="Q2" s="604"/>
      <c r="R2" s="352"/>
    </row>
    <row r="3" spans="1:18" ht="15">
      <c r="A3" s="618" t="s">
        <v>5</v>
      </c>
      <c r="B3" s="619"/>
      <c r="C3" s="584"/>
      <c r="D3" s="584"/>
      <c r="E3" s="615" t="str">
        <f>'справка №1-БАЛАНС'!E5</f>
        <v> 2008 г. 31.12 - ГОДИШЕН</v>
      </c>
      <c r="F3" s="621"/>
      <c r="G3" s="621"/>
      <c r="H3" s="442"/>
      <c r="I3" s="442"/>
      <c r="J3" s="442"/>
      <c r="K3" s="442"/>
      <c r="L3" s="442"/>
      <c r="M3" s="605" t="s">
        <v>4</v>
      </c>
      <c r="N3" s="605"/>
      <c r="O3" s="575"/>
      <c r="P3" s="606" t="str">
        <f>'справка №1-БАЛАНС'!H4</f>
        <v> </v>
      </c>
      <c r="Q3" s="606"/>
      <c r="R3" s="353"/>
    </row>
    <row r="4" spans="1:18" ht="12.75">
      <c r="A4" s="435" t="s">
        <v>523</v>
      </c>
      <c r="B4" s="441"/>
      <c r="C4" s="441"/>
      <c r="D4" s="442"/>
      <c r="E4" s="625"/>
      <c r="F4" s="626"/>
      <c r="G4" s="62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7" t="s">
        <v>463</v>
      </c>
      <c r="B5" s="628"/>
      <c r="C5" s="63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3" t="s">
        <v>529</v>
      </c>
      <c r="R5" s="623" t="s">
        <v>530</v>
      </c>
    </row>
    <row r="6" spans="1:18" s="44" customFormat="1" ht="48">
      <c r="A6" s="629"/>
      <c r="B6" s="630"/>
      <c r="C6" s="63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4"/>
      <c r="R6" s="62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f>262-70</f>
        <v>192</v>
      </c>
      <c r="E9" s="242">
        <v>1</v>
      </c>
      <c r="F9" s="242">
        <v>5</v>
      </c>
      <c r="G9" s="113">
        <f>D9+E9-F9</f>
        <v>188</v>
      </c>
      <c r="H9" s="103"/>
      <c r="I9" s="103"/>
      <c r="J9" s="113">
        <f>G9+H9-I9</f>
        <v>188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f>1595+1234-52</f>
        <v>2777</v>
      </c>
      <c r="E10" s="242">
        <f>130-111+6+15</f>
        <v>40</v>
      </c>
      <c r="F10" s="242">
        <f>25+74+26</f>
        <v>125</v>
      </c>
      <c r="G10" s="113">
        <f aca="true" t="shared" si="2" ref="G10:G39">D10+E10-F10</f>
        <v>2692</v>
      </c>
      <c r="H10" s="103"/>
      <c r="I10" s="103"/>
      <c r="J10" s="113">
        <f aca="true" t="shared" si="3" ref="J10:J39">G10+H10-I10</f>
        <v>2692</v>
      </c>
      <c r="K10" s="103">
        <f>227+25-9</f>
        <v>243</v>
      </c>
      <c r="L10" s="103">
        <f>54+18+(17+6)</f>
        <v>95</v>
      </c>
      <c r="M10" s="103">
        <v>3</v>
      </c>
      <c r="N10" s="113">
        <f aca="true" t="shared" si="4" ref="N10:N39">K10+L10-M10</f>
        <v>335</v>
      </c>
      <c r="O10" s="103"/>
      <c r="P10" s="103"/>
      <c r="Q10" s="113">
        <f t="shared" si="0"/>
        <v>335</v>
      </c>
      <c r="R10" s="113">
        <f t="shared" si="1"/>
        <v>2357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f>498+27</f>
        <v>525</v>
      </c>
      <c r="E11" s="242">
        <f>35+(180-129)+9</f>
        <v>95</v>
      </c>
      <c r="F11" s="242"/>
      <c r="G11" s="113">
        <f t="shared" si="2"/>
        <v>620</v>
      </c>
      <c r="H11" s="103"/>
      <c r="I11" s="103"/>
      <c r="J11" s="113">
        <f t="shared" si="3"/>
        <v>620</v>
      </c>
      <c r="K11" s="103">
        <f>377+36</f>
        <v>413</v>
      </c>
      <c r="L11" s="103">
        <f>9+9+9</f>
        <v>27</v>
      </c>
      <c r="M11" s="103"/>
      <c r="N11" s="113">
        <f t="shared" si="4"/>
        <v>440</v>
      </c>
      <c r="O11" s="103"/>
      <c r="P11" s="103"/>
      <c r="Q11" s="113">
        <f t="shared" si="0"/>
        <v>440</v>
      </c>
      <c r="R11" s="113">
        <f t="shared" si="1"/>
        <v>180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f>549+204</f>
        <v>753</v>
      </c>
      <c r="E12" s="242">
        <v>12</v>
      </c>
      <c r="F12" s="242">
        <f>17+16</f>
        <v>33</v>
      </c>
      <c r="G12" s="113">
        <f t="shared" si="2"/>
        <v>732</v>
      </c>
      <c r="H12" s="103"/>
      <c r="I12" s="103"/>
      <c r="J12" s="113">
        <f t="shared" si="3"/>
        <v>732</v>
      </c>
      <c r="K12" s="103">
        <f>23+14</f>
        <v>37</v>
      </c>
      <c r="L12" s="103">
        <f>7+2</f>
        <v>9</v>
      </c>
      <c r="M12" s="103">
        <v>2</v>
      </c>
      <c r="N12" s="113">
        <f t="shared" si="4"/>
        <v>44</v>
      </c>
      <c r="O12" s="103"/>
      <c r="P12" s="103"/>
      <c r="Q12" s="113">
        <f t="shared" si="0"/>
        <v>44</v>
      </c>
      <c r="R12" s="113">
        <f t="shared" si="1"/>
        <v>688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f>140+25</f>
        <v>165</v>
      </c>
      <c r="E13" s="242">
        <f>32+4+5-19</f>
        <v>22</v>
      </c>
      <c r="F13" s="242">
        <v>12</v>
      </c>
      <c r="G13" s="113">
        <f t="shared" si="2"/>
        <v>175</v>
      </c>
      <c r="H13" s="103"/>
      <c r="I13" s="103"/>
      <c r="J13" s="113">
        <f t="shared" si="3"/>
        <v>175</v>
      </c>
      <c r="K13" s="103">
        <f>114+19</f>
        <v>133</v>
      </c>
      <c r="L13" s="103">
        <f>2+5+5</f>
        <v>12</v>
      </c>
      <c r="M13" s="103">
        <v>12</v>
      </c>
      <c r="N13" s="113">
        <f t="shared" si="4"/>
        <v>133</v>
      </c>
      <c r="O13" s="103"/>
      <c r="P13" s="103"/>
      <c r="Q13" s="113">
        <f t="shared" si="0"/>
        <v>133</v>
      </c>
      <c r="R13" s="113">
        <f t="shared" si="1"/>
        <v>42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f>154+2-12</f>
        <v>144</v>
      </c>
      <c r="E14" s="242">
        <v>4</v>
      </c>
      <c r="F14" s="242"/>
      <c r="G14" s="113">
        <f t="shared" si="2"/>
        <v>148</v>
      </c>
      <c r="H14" s="103"/>
      <c r="I14" s="103"/>
      <c r="J14" s="113">
        <f t="shared" si="3"/>
        <v>148</v>
      </c>
      <c r="K14" s="103">
        <f>9+14-5</f>
        <v>18</v>
      </c>
      <c r="L14" s="103">
        <f>4+1+5</f>
        <v>10</v>
      </c>
      <c r="M14" s="103"/>
      <c r="N14" s="113">
        <f t="shared" si="4"/>
        <v>28</v>
      </c>
      <c r="O14" s="103"/>
      <c r="P14" s="103"/>
      <c r="Q14" s="113">
        <f t="shared" si="0"/>
        <v>28</v>
      </c>
      <c r="R14" s="113">
        <f t="shared" si="1"/>
        <v>120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858</v>
      </c>
      <c r="B15" s="465" t="s">
        <v>859</v>
      </c>
      <c r="C15" s="562" t="s">
        <v>860</v>
      </c>
      <c r="D15" s="563">
        <f>338+15-298</f>
        <v>55</v>
      </c>
      <c r="E15" s="563">
        <f>3+125+1</f>
        <v>129</v>
      </c>
      <c r="F15" s="563">
        <v>132</v>
      </c>
      <c r="G15" s="113">
        <f t="shared" si="2"/>
        <v>52</v>
      </c>
      <c r="H15" s="564"/>
      <c r="I15" s="564"/>
      <c r="J15" s="113">
        <f t="shared" si="3"/>
        <v>52</v>
      </c>
      <c r="K15" s="103"/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52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f>30+16-1</f>
        <v>45</v>
      </c>
      <c r="E16" s="242">
        <v>7</v>
      </c>
      <c r="F16" s="242"/>
      <c r="G16" s="113">
        <f t="shared" si="2"/>
        <v>52</v>
      </c>
      <c r="H16" s="103"/>
      <c r="I16" s="103"/>
      <c r="J16" s="113">
        <f t="shared" si="3"/>
        <v>52</v>
      </c>
      <c r="K16" s="103">
        <f>12+5</f>
        <v>17</v>
      </c>
      <c r="L16" s="103">
        <v>10</v>
      </c>
      <c r="M16" s="103"/>
      <c r="N16" s="113">
        <f t="shared" si="4"/>
        <v>27</v>
      </c>
      <c r="O16" s="103"/>
      <c r="P16" s="103"/>
      <c r="Q16" s="113">
        <f aca="true" t="shared" si="5" ref="Q16:Q25">N16+O16-P16</f>
        <v>27</v>
      </c>
      <c r="R16" s="113">
        <f aca="true" t="shared" si="6" ref="R16:R25">J16-Q16</f>
        <v>25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4656</v>
      </c>
      <c r="E17" s="247">
        <f>SUM(E9:E16)</f>
        <v>310</v>
      </c>
      <c r="F17" s="247">
        <f>SUM(F9:F16)</f>
        <v>307</v>
      </c>
      <c r="G17" s="113">
        <f t="shared" si="2"/>
        <v>4659</v>
      </c>
      <c r="H17" s="114">
        <f>SUM(H9:H16)</f>
        <v>0</v>
      </c>
      <c r="I17" s="114">
        <f>SUM(I9:I16)</f>
        <v>0</v>
      </c>
      <c r="J17" s="113">
        <f t="shared" si="3"/>
        <v>4659</v>
      </c>
      <c r="K17" s="114">
        <f>SUM(K9:K16)</f>
        <v>861</v>
      </c>
      <c r="L17" s="114">
        <f>SUM(L9:L16)</f>
        <v>163</v>
      </c>
      <c r="M17" s="114">
        <f>SUM(M9:M16)</f>
        <v>17</v>
      </c>
      <c r="N17" s="113">
        <f t="shared" si="4"/>
        <v>1007</v>
      </c>
      <c r="O17" s="114">
        <f>SUM(O9:O16)</f>
        <v>0</v>
      </c>
      <c r="P17" s="114">
        <f>SUM(P9:P16)</f>
        <v>0</v>
      </c>
      <c r="Q17" s="113">
        <f t="shared" si="5"/>
        <v>1007</v>
      </c>
      <c r="R17" s="113">
        <f t="shared" si="6"/>
        <v>3652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f>20-2</f>
        <v>18</v>
      </c>
      <c r="L22" s="103">
        <v>2</v>
      </c>
      <c r="M22" s="103"/>
      <c r="N22" s="113">
        <f t="shared" si="4"/>
        <v>20</v>
      </c>
      <c r="O22" s="103"/>
      <c r="P22" s="103"/>
      <c r="Q22" s="113">
        <f t="shared" si="5"/>
        <v>20</v>
      </c>
      <c r="R22" s="113">
        <f t="shared" si="6"/>
        <v>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f>12+3</f>
        <v>15</v>
      </c>
      <c r="L24" s="103">
        <f>1+1</f>
        <v>2</v>
      </c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34</v>
      </c>
      <c r="L25" s="104">
        <f t="shared" si="7"/>
        <v>4</v>
      </c>
      <c r="M25" s="104">
        <f t="shared" si="7"/>
        <v>0</v>
      </c>
      <c r="N25" s="105">
        <f t="shared" si="4"/>
        <v>38</v>
      </c>
      <c r="O25" s="104">
        <f t="shared" si="7"/>
        <v>0</v>
      </c>
      <c r="P25" s="104">
        <f t="shared" si="7"/>
        <v>0</v>
      </c>
      <c r="Q25" s="105">
        <f t="shared" si="5"/>
        <v>38</v>
      </c>
      <c r="R25" s="105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522</v>
      </c>
      <c r="E27" s="245">
        <f aca="true" t="shared" si="8" ref="E27:P27">SUM(E28:E31)</f>
        <v>0</v>
      </c>
      <c r="F27" s="245">
        <f t="shared" si="8"/>
        <v>17</v>
      </c>
      <c r="G27" s="110">
        <f t="shared" si="2"/>
        <v>505</v>
      </c>
      <c r="H27" s="109">
        <f t="shared" si="8"/>
        <v>0</v>
      </c>
      <c r="I27" s="109">
        <f t="shared" si="8"/>
        <v>0</v>
      </c>
      <c r="J27" s="110">
        <f t="shared" si="3"/>
        <v>505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505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f>533+72-129</f>
        <v>476</v>
      </c>
      <c r="E30" s="242"/>
      <c r="F30" s="242">
        <v>17</v>
      </c>
      <c r="G30" s="113">
        <f t="shared" si="2"/>
        <v>459</v>
      </c>
      <c r="H30" s="111"/>
      <c r="I30" s="111"/>
      <c r="J30" s="113">
        <f t="shared" si="3"/>
        <v>459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/>
      <c r="F31" s="242"/>
      <c r="G31" s="113">
        <f t="shared" si="2"/>
        <v>46</v>
      </c>
      <c r="H31" s="111"/>
      <c r="I31" s="111"/>
      <c r="J31" s="113">
        <f t="shared" si="3"/>
        <v>46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46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530</v>
      </c>
      <c r="E38" s="247">
        <f aca="true" t="shared" si="12" ref="E38:P38">E27+E32+E37</f>
        <v>0</v>
      </c>
      <c r="F38" s="247">
        <f t="shared" si="12"/>
        <v>17</v>
      </c>
      <c r="G38" s="113">
        <f t="shared" si="2"/>
        <v>513</v>
      </c>
      <c r="H38" s="114">
        <f t="shared" si="12"/>
        <v>0</v>
      </c>
      <c r="I38" s="114">
        <f t="shared" si="12"/>
        <v>0</v>
      </c>
      <c r="J38" s="113">
        <f t="shared" si="3"/>
        <v>513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513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/>
      <c r="G39" s="113">
        <f t="shared" si="2"/>
        <v>166</v>
      </c>
      <c r="H39" s="595"/>
      <c r="I39" s="595"/>
      <c r="J39" s="113">
        <f t="shared" si="3"/>
        <v>166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5395</v>
      </c>
      <c r="E40" s="545">
        <f>E17+E18+E19+E25+E38+E39</f>
        <v>310</v>
      </c>
      <c r="F40" s="545">
        <f aca="true" t="shared" si="13" ref="F40:R40">F17+F18+F19+F25+F38+F39</f>
        <v>324</v>
      </c>
      <c r="G40" s="545">
        <f t="shared" si="13"/>
        <v>5381</v>
      </c>
      <c r="H40" s="545">
        <f t="shared" si="13"/>
        <v>0</v>
      </c>
      <c r="I40" s="545">
        <f t="shared" si="13"/>
        <v>0</v>
      </c>
      <c r="J40" s="545">
        <f t="shared" si="13"/>
        <v>5381</v>
      </c>
      <c r="K40" s="545">
        <f t="shared" si="13"/>
        <v>962</v>
      </c>
      <c r="L40" s="545">
        <f t="shared" si="13"/>
        <v>167</v>
      </c>
      <c r="M40" s="545">
        <f t="shared" si="13"/>
        <v>17</v>
      </c>
      <c r="N40" s="545">
        <f t="shared" si="13"/>
        <v>1112</v>
      </c>
      <c r="O40" s="545">
        <f t="shared" si="13"/>
        <v>0</v>
      </c>
      <c r="P40" s="545">
        <f t="shared" si="13"/>
        <v>0</v>
      </c>
      <c r="Q40" s="545">
        <f t="shared" si="13"/>
        <v>1112</v>
      </c>
      <c r="R40" s="545">
        <f t="shared" si="13"/>
        <v>4269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167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4269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17.04.2009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3"/>
      <c r="L44" s="633"/>
      <c r="M44" s="633"/>
      <c r="N44" s="633"/>
      <c r="O44" s="603" t="s">
        <v>781</v>
      </c>
      <c r="P44" s="619"/>
      <c r="Q44" s="619"/>
      <c r="R44" s="619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C118" sqref="C11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8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 2008 г. 31.12 - ГОДИШЕН</v>
      </c>
      <c r="B4" s="639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729</v>
      </c>
      <c r="D11" s="165">
        <f>SUM(D12:D14)</f>
        <v>0</v>
      </c>
      <c r="E11" s="166">
        <f>SUM(E12:E14)</f>
        <v>729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729</v>
      </c>
      <c r="D12" s="153"/>
      <c r="E12" s="166">
        <f aca="true" t="shared" si="0" ref="E12:E42">C12-D12</f>
        <v>729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418</v>
      </c>
      <c r="D15" s="153"/>
      <c r="E15" s="166">
        <f t="shared" si="0"/>
        <v>418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1149</v>
      </c>
      <c r="D19" s="149">
        <f>D11+D15+D16</f>
        <v>0</v>
      </c>
      <c r="E19" s="164">
        <f>E11+E15+E16</f>
        <v>1149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78</v>
      </c>
      <c r="D24" s="165">
        <f>SUM(D25:D27)</f>
        <v>10</v>
      </c>
      <c r="E24" s="166">
        <f>SUM(E25:E27)</f>
        <v>68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68</v>
      </c>
      <c r="D25" s="153"/>
      <c r="E25" s="166">
        <f t="shared" si="0"/>
        <v>68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1249</v>
      </c>
      <c r="D28" s="153">
        <v>179</v>
      </c>
      <c r="E28" s="166">
        <f t="shared" si="0"/>
        <v>1070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41</v>
      </c>
      <c r="D30" s="153">
        <v>32</v>
      </c>
      <c r="E30" s="166">
        <f t="shared" si="0"/>
        <v>9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77</v>
      </c>
      <c r="D33" s="150">
        <f>SUM(D34:D37)</f>
        <v>34</v>
      </c>
      <c r="E33" s="167">
        <f>SUM(E34:E37)</f>
        <v>43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39</v>
      </c>
      <c r="D34" s="153">
        <v>7</v>
      </c>
      <c r="E34" s="166">
        <f t="shared" si="0"/>
        <v>32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500</v>
      </c>
      <c r="D38" s="150">
        <f>SUM(D39:D42)</f>
        <v>0</v>
      </c>
      <c r="E38" s="167">
        <f>SUM(E39:E42)</f>
        <v>500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500</v>
      </c>
      <c r="D42" s="153"/>
      <c r="E42" s="166">
        <f t="shared" si="0"/>
        <v>500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1948</v>
      </c>
      <c r="D43" s="149">
        <f>D24+D28+D29+D31+D30+D32+D33+D38</f>
        <v>255</v>
      </c>
      <c r="E43" s="164">
        <f>E24+E28+E29+E31+E30+E32+E33+E38</f>
        <v>1693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3097</v>
      </c>
      <c r="D44" s="148">
        <f>D43+D21+D19+D9</f>
        <v>255</v>
      </c>
      <c r="E44" s="164">
        <f>E43+E21+E19+E9</f>
        <v>2842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146</v>
      </c>
      <c r="D52" s="148">
        <f>SUM(D53:D55)</f>
        <v>0</v>
      </c>
      <c r="E52" s="165">
        <f>C52-D52</f>
        <v>146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146</v>
      </c>
      <c r="D53" s="153"/>
      <c r="E53" s="165">
        <f>C53-D53</f>
        <v>146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38</v>
      </c>
      <c r="D56" s="148">
        <f>D57+D59</f>
        <v>0</v>
      </c>
      <c r="E56" s="165">
        <f t="shared" si="1"/>
        <v>38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38</v>
      </c>
      <c r="D57" s="153">
        <v>0</v>
      </c>
      <c r="E57" s="165">
        <f t="shared" si="1"/>
        <v>38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60</v>
      </c>
      <c r="D62" s="153"/>
      <c r="E62" s="165">
        <f t="shared" si="1"/>
        <v>60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26</v>
      </c>
      <c r="D64" s="153"/>
      <c r="E64" s="165">
        <f t="shared" si="1"/>
        <v>26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270</v>
      </c>
      <c r="D66" s="148">
        <f>D52+D56+D61+D62+D63+D64</f>
        <v>0</v>
      </c>
      <c r="E66" s="165">
        <f t="shared" si="1"/>
        <v>270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189</v>
      </c>
      <c r="D71" s="150">
        <f>SUM(D72:D74)</f>
        <v>0</v>
      </c>
      <c r="E71" s="150">
        <f>SUM(E72:E74)</f>
        <v>189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173</v>
      </c>
      <c r="D74" s="153"/>
      <c r="E74" s="165">
        <f t="shared" si="1"/>
        <v>173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145</v>
      </c>
      <c r="D75" s="148">
        <f>D76+D78</f>
        <v>14</v>
      </c>
      <c r="E75" s="148">
        <f>E76+E78</f>
        <v>131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145</v>
      </c>
      <c r="D78" s="153">
        <v>14</v>
      </c>
      <c r="E78" s="165">
        <f t="shared" si="1"/>
        <v>131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1621</v>
      </c>
      <c r="D85" s="149">
        <f>SUM(D86:D90)+D94</f>
        <v>624</v>
      </c>
      <c r="E85" s="149">
        <f>SUM(E86:E90)+E94</f>
        <v>997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408</v>
      </c>
      <c r="D86" s="153">
        <v>74</v>
      </c>
      <c r="E86" s="165">
        <f t="shared" si="1"/>
        <v>334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783</v>
      </c>
      <c r="D87" s="153">
        <v>401</v>
      </c>
      <c r="E87" s="165">
        <f t="shared" si="1"/>
        <v>382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29</v>
      </c>
      <c r="D88" s="153"/>
      <c r="E88" s="165">
        <f t="shared" si="1"/>
        <v>29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235</v>
      </c>
      <c r="D89" s="153">
        <v>91</v>
      </c>
      <c r="E89" s="165">
        <f t="shared" si="1"/>
        <v>144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140</v>
      </c>
      <c r="D90" s="148">
        <f>SUM(D91:D93)</f>
        <v>35</v>
      </c>
      <c r="E90" s="148">
        <f>SUM(E91:E93)</f>
        <v>105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119</v>
      </c>
      <c r="D92" s="153">
        <v>14</v>
      </c>
      <c r="E92" s="165">
        <f t="shared" si="1"/>
        <v>105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26</v>
      </c>
      <c r="D94" s="153">
        <v>23</v>
      </c>
      <c r="E94" s="165">
        <f t="shared" si="1"/>
        <v>3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265</v>
      </c>
      <c r="D95" s="153"/>
      <c r="E95" s="165">
        <f t="shared" si="1"/>
        <v>265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2220</v>
      </c>
      <c r="D96" s="149">
        <f>D85+D80+D75+D71+D95</f>
        <v>638</v>
      </c>
      <c r="E96" s="149">
        <f>E85+E80+E75+E71+E95</f>
        <v>1582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2490</v>
      </c>
      <c r="D97" s="149">
        <f>D96+D68+D66</f>
        <v>638</v>
      </c>
      <c r="E97" s="149">
        <f>E96+E68+E66</f>
        <v>1852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780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tr">
        <f>'справка №1-БАЛАНС'!A98</f>
        <v>Дата на съставяне: 17.04.2009 г</v>
      </c>
      <c r="B109" s="635"/>
      <c r="C109" s="635" t="s">
        <v>381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781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4" sqref="C34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5" t="str">
        <f>'справка №1-БАЛАНС'!E3</f>
        <v>Булгар Чех Инвест Холдинг АД - Смолян</v>
      </c>
      <c r="D4" s="621"/>
      <c r="E4" s="621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5" t="str">
        <f>'справка №1-БАЛАНС'!E5</f>
        <v> 2008 г. 31.12 - ГОДИШЕН</v>
      </c>
      <c r="D5" s="642"/>
      <c r="E5" s="642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</f>
        <v>459</v>
      </c>
      <c r="D12" s="141"/>
      <c r="E12" s="141"/>
      <c r="F12" s="141">
        <f>C12</f>
        <v>459</v>
      </c>
      <c r="G12" s="141"/>
      <c r="H12" s="141"/>
      <c r="I12" s="540">
        <f>F12+G12-H12</f>
        <v>459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46</v>
      </c>
      <c r="D16" s="141"/>
      <c r="E16" s="141"/>
      <c r="F16" s="141">
        <f>C16</f>
        <v>46</v>
      </c>
      <c r="G16" s="141"/>
      <c r="H16" s="141"/>
      <c r="I16" s="540">
        <f t="shared" si="0"/>
        <v>46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505</v>
      </c>
      <c r="D17" s="127">
        <f t="shared" si="1"/>
        <v>0</v>
      </c>
      <c r="E17" s="127">
        <f t="shared" si="1"/>
        <v>0</v>
      </c>
      <c r="F17" s="127">
        <f t="shared" si="1"/>
        <v>505</v>
      </c>
      <c r="G17" s="127">
        <f t="shared" si="1"/>
        <v>0</v>
      </c>
      <c r="H17" s="127">
        <f t="shared" si="1"/>
        <v>0</v>
      </c>
      <c r="I17" s="540">
        <f t="shared" si="0"/>
        <v>505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17.04.2009 г</v>
      </c>
      <c r="B30" s="641"/>
      <c r="C30" s="641"/>
      <c r="D30" s="566" t="s">
        <v>819</v>
      </c>
      <c r="E30" s="640"/>
      <c r="F30" s="640"/>
      <c r="G30" s="640"/>
      <c r="H30" s="518" t="s">
        <v>781</v>
      </c>
      <c r="I30" s="640"/>
      <c r="J30" s="640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34">
      <selection activeCell="C41" sqref="C41"/>
    </sheetView>
  </sheetViews>
  <sheetFormatPr defaultColWidth="9.00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Булгар Чех Инвест Холдинг АД - Смолян</v>
      </c>
      <c r="C5" s="620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5" t="str">
        <f>'справка №1-БАЛАНС'!E5</f>
        <v> 2008 г. 31.12 - ГОДИШЕН</v>
      </c>
      <c r="C6" s="642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863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864</v>
      </c>
      <c r="B47" s="70"/>
      <c r="C47" s="548">
        <v>10</v>
      </c>
      <c r="D47" s="598">
        <v>30.33</v>
      </c>
      <c r="E47" s="548"/>
      <c r="F47" s="550">
        <f aca="true" t="shared" si="2" ref="F47:F53">C47-E47</f>
        <v>10</v>
      </c>
    </row>
    <row r="48" spans="1:6" ht="12.75">
      <c r="A48" s="597" t="s">
        <v>865</v>
      </c>
      <c r="B48" s="70"/>
      <c r="C48" s="548">
        <v>25</v>
      </c>
      <c r="D48" s="598">
        <v>31.12</v>
      </c>
      <c r="E48" s="548"/>
      <c r="F48" s="550">
        <f t="shared" si="2"/>
        <v>25</v>
      </c>
    </row>
    <row r="49" spans="1:6" ht="12.75">
      <c r="A49" s="66" t="s">
        <v>867</v>
      </c>
      <c r="B49" s="67"/>
      <c r="C49" s="548">
        <f>123-17</f>
        <v>106</v>
      </c>
      <c r="D49" s="598">
        <f>31-4.5</f>
        <v>26.5</v>
      </c>
      <c r="E49" s="548"/>
      <c r="F49" s="550">
        <f t="shared" si="2"/>
        <v>106</v>
      </c>
    </row>
    <row r="50" spans="1:6" ht="12.75">
      <c r="A50" s="66" t="s">
        <v>868</v>
      </c>
      <c r="B50" s="67"/>
      <c r="C50" s="548">
        <f>125-97</f>
        <v>28</v>
      </c>
      <c r="D50" s="598">
        <v>2.82</v>
      </c>
      <c r="E50" s="548"/>
      <c r="F50" s="550">
        <f t="shared" si="2"/>
        <v>28</v>
      </c>
    </row>
    <row r="51" spans="1:6" ht="12.75">
      <c r="A51" s="66" t="s">
        <v>869</v>
      </c>
      <c r="B51" s="67"/>
      <c r="C51" s="548">
        <f>77+13</f>
        <v>90</v>
      </c>
      <c r="D51" s="598">
        <v>0.3</v>
      </c>
      <c r="E51" s="548"/>
      <c r="F51" s="550">
        <f t="shared" si="2"/>
        <v>90</v>
      </c>
    </row>
    <row r="52" spans="1:6" ht="12.75">
      <c r="A52" s="66" t="s">
        <v>870</v>
      </c>
      <c r="B52" s="67"/>
      <c r="C52" s="548">
        <v>162</v>
      </c>
      <c r="D52" s="548">
        <v>27</v>
      </c>
      <c r="E52" s="548"/>
      <c r="F52" s="550">
        <f t="shared" si="2"/>
        <v>162</v>
      </c>
    </row>
    <row r="53" spans="1:6" ht="12.75">
      <c r="A53" s="66"/>
      <c r="B53" s="67"/>
      <c r="C53" s="548"/>
      <c r="D53" s="548"/>
      <c r="E53" s="548"/>
      <c r="F53" s="550">
        <f t="shared" si="2"/>
        <v>0</v>
      </c>
    </row>
    <row r="54" spans="1:16" ht="12" customHeight="1">
      <c r="A54" s="68" t="s">
        <v>600</v>
      </c>
      <c r="B54" s="69" t="s">
        <v>836</v>
      </c>
      <c r="C54" s="535">
        <f>SUM(C46:C53)</f>
        <v>459</v>
      </c>
      <c r="D54" s="535"/>
      <c r="E54" s="535">
        <f>SUM(E46:E53)</f>
        <v>0</v>
      </c>
      <c r="F54" s="549">
        <f>SUM(F46:F53)</f>
        <v>459</v>
      </c>
      <c r="G54" s="525"/>
      <c r="H54" s="525"/>
      <c r="I54" s="525"/>
      <c r="J54" s="525"/>
      <c r="K54" s="525"/>
      <c r="L54" s="525"/>
      <c r="M54" s="525"/>
      <c r="N54" s="525"/>
      <c r="O54" s="525"/>
      <c r="P54" s="525"/>
    </row>
    <row r="55" spans="1:6" ht="18.75" customHeight="1">
      <c r="A55" s="66" t="s">
        <v>837</v>
      </c>
      <c r="B55" s="70"/>
      <c r="C55" s="535"/>
      <c r="D55" s="535"/>
      <c r="E55" s="535"/>
      <c r="F55" s="549"/>
    </row>
    <row r="56" spans="1:6" ht="25.5">
      <c r="A56" s="66" t="s">
        <v>866</v>
      </c>
      <c r="B56" s="70"/>
      <c r="C56" s="548">
        <v>43</v>
      </c>
      <c r="D56" s="548"/>
      <c r="E56" s="548"/>
      <c r="F56" s="550">
        <f>C56-E56</f>
        <v>43</v>
      </c>
    </row>
    <row r="57" spans="1:6" ht="12.75">
      <c r="A57" s="597" t="s">
        <v>871</v>
      </c>
      <c r="B57" s="70"/>
      <c r="C57" s="548">
        <v>3</v>
      </c>
      <c r="D57" s="548"/>
      <c r="E57" s="548"/>
      <c r="F57" s="550">
        <f aca="true" t="shared" si="3" ref="F57:F68">C57-E57</f>
        <v>3</v>
      </c>
    </row>
    <row r="58" spans="1:6" ht="25.5">
      <c r="A58" s="66" t="s">
        <v>872</v>
      </c>
      <c r="B58" s="67"/>
      <c r="C58" s="548">
        <v>8</v>
      </c>
      <c r="D58" s="548"/>
      <c r="E58" s="548"/>
      <c r="F58" s="550">
        <f t="shared" si="3"/>
        <v>8</v>
      </c>
    </row>
    <row r="59" spans="1:6" ht="12.75">
      <c r="A59" s="66">
        <v>6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7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8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9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10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11</v>
      </c>
      <c r="B64" s="67"/>
      <c r="C64" s="548"/>
      <c r="D64" s="548"/>
      <c r="E64" s="548"/>
      <c r="F64" s="550">
        <f t="shared" si="3"/>
        <v>0</v>
      </c>
    </row>
    <row r="65" spans="1:6" ht="12.75">
      <c r="A65" s="66">
        <v>12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13</v>
      </c>
      <c r="B66" s="67"/>
      <c r="C66" s="548"/>
      <c r="D66" s="548"/>
      <c r="E66" s="548"/>
      <c r="F66" s="550">
        <f t="shared" si="3"/>
        <v>0</v>
      </c>
    </row>
    <row r="67" spans="1:6" ht="12" customHeight="1">
      <c r="A67" s="66">
        <v>14</v>
      </c>
      <c r="B67" s="67"/>
      <c r="C67" s="548"/>
      <c r="D67" s="548"/>
      <c r="E67" s="548"/>
      <c r="F67" s="550">
        <f t="shared" si="3"/>
        <v>0</v>
      </c>
    </row>
    <row r="68" spans="1:6" ht="12.75">
      <c r="A68" s="66">
        <v>15</v>
      </c>
      <c r="B68" s="67"/>
      <c r="C68" s="548"/>
      <c r="D68" s="548"/>
      <c r="E68" s="548"/>
      <c r="F68" s="550">
        <f t="shared" si="3"/>
        <v>0</v>
      </c>
    </row>
    <row r="69" spans="1:16" ht="14.25" customHeight="1">
      <c r="A69" s="68" t="s">
        <v>838</v>
      </c>
      <c r="B69" s="69" t="s">
        <v>839</v>
      </c>
      <c r="C69" s="535">
        <f>SUM(C56:C68)</f>
        <v>54</v>
      </c>
      <c r="D69" s="535"/>
      <c r="E69" s="535">
        <f>SUM(E56:E68)</f>
        <v>0</v>
      </c>
      <c r="F69" s="549">
        <f>SUM(F56:F68)</f>
        <v>54</v>
      </c>
      <c r="G69" s="525"/>
      <c r="H69" s="525"/>
      <c r="I69" s="525"/>
      <c r="J69" s="525"/>
      <c r="K69" s="525"/>
      <c r="L69" s="525"/>
      <c r="M69" s="525"/>
      <c r="N69" s="525"/>
      <c r="O69" s="525"/>
      <c r="P69" s="525"/>
    </row>
    <row r="70" spans="1:16" ht="20.25" customHeight="1">
      <c r="A70" s="71" t="s">
        <v>840</v>
      </c>
      <c r="B70" s="69" t="s">
        <v>841</v>
      </c>
      <c r="C70" s="535">
        <f>C69+C54+C44+C27</f>
        <v>513</v>
      </c>
      <c r="D70" s="535"/>
      <c r="E70" s="535">
        <f>E69+E54+E44+E27</f>
        <v>0</v>
      </c>
      <c r="F70" s="549">
        <f>F69+F54+F44+F27</f>
        <v>513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6" ht="15" customHeight="1">
      <c r="A71" s="64" t="s">
        <v>842</v>
      </c>
      <c r="B71" s="69"/>
      <c r="C71" s="535"/>
      <c r="D71" s="535"/>
      <c r="E71" s="535"/>
      <c r="F71" s="549"/>
    </row>
    <row r="72" spans="1:6" ht="14.25" customHeight="1">
      <c r="A72" s="66" t="s">
        <v>829</v>
      </c>
      <c r="B72" s="70"/>
      <c r="C72" s="535"/>
      <c r="D72" s="535"/>
      <c r="E72" s="535"/>
      <c r="F72" s="549"/>
    </row>
    <row r="73" spans="1:6" ht="12.75">
      <c r="A73" s="66" t="s">
        <v>830</v>
      </c>
      <c r="B73" s="70"/>
      <c r="C73" s="548"/>
      <c r="D73" s="548"/>
      <c r="E73" s="548"/>
      <c r="F73" s="550">
        <f>C73-E73</f>
        <v>0</v>
      </c>
    </row>
    <row r="74" spans="1:6" ht="12.75">
      <c r="A74" s="66" t="s">
        <v>831</v>
      </c>
      <c r="B74" s="70"/>
      <c r="C74" s="548"/>
      <c r="D74" s="548"/>
      <c r="E74" s="548"/>
      <c r="F74" s="550">
        <f aca="true" t="shared" si="4" ref="F74:F87">C74-E74</f>
        <v>0</v>
      </c>
    </row>
    <row r="75" spans="1:6" ht="12.75">
      <c r="A75" s="66" t="s">
        <v>549</v>
      </c>
      <c r="B75" s="70"/>
      <c r="C75" s="548"/>
      <c r="D75" s="548"/>
      <c r="E75" s="548"/>
      <c r="F75" s="550">
        <f t="shared" si="4"/>
        <v>0</v>
      </c>
    </row>
    <row r="76" spans="1:6" ht="12.75">
      <c r="A76" s="66" t="s">
        <v>552</v>
      </c>
      <c r="B76" s="70"/>
      <c r="C76" s="548"/>
      <c r="D76" s="548"/>
      <c r="E76" s="548"/>
      <c r="F76" s="550">
        <f t="shared" si="4"/>
        <v>0</v>
      </c>
    </row>
    <row r="77" spans="1:6" ht="12.75">
      <c r="A77" s="66">
        <v>5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6</v>
      </c>
      <c r="B78" s="67"/>
      <c r="C78" s="548"/>
      <c r="D78" s="548"/>
      <c r="E78" s="548"/>
      <c r="F78" s="550">
        <f t="shared" si="4"/>
        <v>0</v>
      </c>
    </row>
    <row r="79" spans="1:6" ht="12.75">
      <c r="A79" s="66">
        <v>7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8</v>
      </c>
      <c r="B80" s="67"/>
      <c r="C80" s="548"/>
      <c r="D80" s="548"/>
      <c r="E80" s="548"/>
      <c r="F80" s="550">
        <f t="shared" si="4"/>
        <v>0</v>
      </c>
    </row>
    <row r="81" spans="1:6" ht="12" customHeight="1">
      <c r="A81" s="66">
        <v>9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10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11</v>
      </c>
      <c r="B83" s="67"/>
      <c r="C83" s="548"/>
      <c r="D83" s="548"/>
      <c r="E83" s="548"/>
      <c r="F83" s="550">
        <f t="shared" si="4"/>
        <v>0</v>
      </c>
    </row>
    <row r="84" spans="1:6" ht="12.75">
      <c r="A84" s="66">
        <v>12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13</v>
      </c>
      <c r="B85" s="67"/>
      <c r="C85" s="548"/>
      <c r="D85" s="548"/>
      <c r="E85" s="548"/>
      <c r="F85" s="550">
        <f t="shared" si="4"/>
        <v>0</v>
      </c>
    </row>
    <row r="86" spans="1:6" ht="12" customHeight="1">
      <c r="A86" s="66">
        <v>14</v>
      </c>
      <c r="B86" s="67"/>
      <c r="C86" s="548"/>
      <c r="D86" s="548"/>
      <c r="E86" s="548"/>
      <c r="F86" s="550">
        <f t="shared" si="4"/>
        <v>0</v>
      </c>
    </row>
    <row r="87" spans="1:6" ht="12.75">
      <c r="A87" s="66">
        <v>15</v>
      </c>
      <c r="B87" s="67"/>
      <c r="C87" s="548"/>
      <c r="D87" s="548"/>
      <c r="E87" s="548"/>
      <c r="F87" s="550">
        <f t="shared" si="4"/>
        <v>0</v>
      </c>
    </row>
    <row r="88" spans="1:16" ht="15" customHeight="1">
      <c r="A88" s="68" t="s">
        <v>564</v>
      </c>
      <c r="B88" s="69" t="s">
        <v>843</v>
      </c>
      <c r="C88" s="535">
        <f>SUM(C73:C87)</f>
        <v>0</v>
      </c>
      <c r="D88" s="535"/>
      <c r="E88" s="535">
        <f>SUM(E73:E87)</f>
        <v>0</v>
      </c>
      <c r="F88" s="549">
        <f>SUM(F73:F87)</f>
        <v>0</v>
      </c>
      <c r="G88" s="525"/>
      <c r="H88" s="525"/>
      <c r="I88" s="525"/>
      <c r="J88" s="525"/>
      <c r="K88" s="525"/>
      <c r="L88" s="525"/>
      <c r="M88" s="525"/>
      <c r="N88" s="525"/>
      <c r="O88" s="525"/>
      <c r="P88" s="525"/>
    </row>
    <row r="89" spans="1:6" ht="15.75" customHeight="1">
      <c r="A89" s="66" t="s">
        <v>833</v>
      </c>
      <c r="B89" s="70"/>
      <c r="C89" s="535"/>
      <c r="D89" s="535"/>
      <c r="E89" s="535"/>
      <c r="F89" s="549"/>
    </row>
    <row r="90" spans="1:6" ht="12.75">
      <c r="A90" s="66" t="s">
        <v>543</v>
      </c>
      <c r="B90" s="70"/>
      <c r="C90" s="548"/>
      <c r="D90" s="548"/>
      <c r="E90" s="548"/>
      <c r="F90" s="550">
        <f>C90-E90</f>
        <v>0</v>
      </c>
    </row>
    <row r="91" spans="1:6" ht="12.75">
      <c r="A91" s="66" t="s">
        <v>546</v>
      </c>
      <c r="B91" s="70"/>
      <c r="C91" s="548"/>
      <c r="D91" s="548"/>
      <c r="E91" s="548"/>
      <c r="F91" s="550">
        <f aca="true" t="shared" si="5" ref="F91:F104">C91-E91</f>
        <v>0</v>
      </c>
    </row>
    <row r="92" spans="1:6" ht="12.75">
      <c r="A92" s="66" t="s">
        <v>549</v>
      </c>
      <c r="B92" s="70"/>
      <c r="C92" s="548"/>
      <c r="D92" s="548"/>
      <c r="E92" s="548"/>
      <c r="F92" s="550">
        <f t="shared" si="5"/>
        <v>0</v>
      </c>
    </row>
    <row r="93" spans="1:6" ht="12.75">
      <c r="A93" s="66" t="s">
        <v>552</v>
      </c>
      <c r="B93" s="70"/>
      <c r="C93" s="548"/>
      <c r="D93" s="548"/>
      <c r="E93" s="548"/>
      <c r="F93" s="550">
        <f t="shared" si="5"/>
        <v>0</v>
      </c>
    </row>
    <row r="94" spans="1:6" ht="12.75">
      <c r="A94" s="66">
        <v>5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6</v>
      </c>
      <c r="B95" s="67"/>
      <c r="C95" s="548"/>
      <c r="D95" s="548"/>
      <c r="E95" s="548"/>
      <c r="F95" s="550">
        <f t="shared" si="5"/>
        <v>0</v>
      </c>
    </row>
    <row r="96" spans="1:6" ht="12.75">
      <c r="A96" s="66">
        <v>7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8</v>
      </c>
      <c r="B97" s="67"/>
      <c r="C97" s="548"/>
      <c r="D97" s="548"/>
      <c r="E97" s="548"/>
      <c r="F97" s="550">
        <f t="shared" si="5"/>
        <v>0</v>
      </c>
    </row>
    <row r="98" spans="1:6" ht="12" customHeight="1">
      <c r="A98" s="66">
        <v>9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10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11</v>
      </c>
      <c r="B100" s="67"/>
      <c r="C100" s="548"/>
      <c r="D100" s="548"/>
      <c r="E100" s="548"/>
      <c r="F100" s="550">
        <f t="shared" si="5"/>
        <v>0</v>
      </c>
    </row>
    <row r="101" spans="1:6" ht="12.75">
      <c r="A101" s="66">
        <v>12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13</v>
      </c>
      <c r="B102" s="67"/>
      <c r="C102" s="548"/>
      <c r="D102" s="548"/>
      <c r="E102" s="548"/>
      <c r="F102" s="550">
        <f t="shared" si="5"/>
        <v>0</v>
      </c>
    </row>
    <row r="103" spans="1:6" ht="12" customHeight="1">
      <c r="A103" s="66">
        <v>14</v>
      </c>
      <c r="B103" s="67"/>
      <c r="C103" s="548"/>
      <c r="D103" s="548"/>
      <c r="E103" s="548"/>
      <c r="F103" s="550">
        <f t="shared" si="5"/>
        <v>0</v>
      </c>
    </row>
    <row r="104" spans="1:6" ht="12.75">
      <c r="A104" s="66">
        <v>15</v>
      </c>
      <c r="B104" s="67"/>
      <c r="C104" s="548"/>
      <c r="D104" s="548"/>
      <c r="E104" s="548"/>
      <c r="F104" s="550">
        <f t="shared" si="5"/>
        <v>0</v>
      </c>
    </row>
    <row r="105" spans="1:16" ht="11.25" customHeight="1">
      <c r="A105" s="68" t="s">
        <v>581</v>
      </c>
      <c r="B105" s="69" t="s">
        <v>844</v>
      </c>
      <c r="C105" s="535">
        <f>SUM(C90:C104)</f>
        <v>0</v>
      </c>
      <c r="D105" s="535"/>
      <c r="E105" s="535">
        <f>SUM(E90:E104)</f>
        <v>0</v>
      </c>
      <c r="F105" s="549">
        <f>SUM(F90:F104)</f>
        <v>0</v>
      </c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</row>
    <row r="106" spans="1:6" ht="15" customHeight="1">
      <c r="A106" s="66" t="s">
        <v>835</v>
      </c>
      <c r="B106" s="70"/>
      <c r="C106" s="535"/>
      <c r="D106" s="535"/>
      <c r="E106" s="535"/>
      <c r="F106" s="549"/>
    </row>
    <row r="107" spans="1:6" ht="12.75">
      <c r="A107" s="66" t="s">
        <v>543</v>
      </c>
      <c r="B107" s="70"/>
      <c r="C107" s="548"/>
      <c r="D107" s="548"/>
      <c r="E107" s="548"/>
      <c r="F107" s="550">
        <f>C107-E107</f>
        <v>0</v>
      </c>
    </row>
    <row r="108" spans="1:6" ht="12.75">
      <c r="A108" s="66" t="s">
        <v>546</v>
      </c>
      <c r="B108" s="70"/>
      <c r="C108" s="548"/>
      <c r="D108" s="548"/>
      <c r="E108" s="548"/>
      <c r="F108" s="550">
        <f aca="true" t="shared" si="6" ref="F108:F121">C108-E108</f>
        <v>0</v>
      </c>
    </row>
    <row r="109" spans="1:6" ht="12.75">
      <c r="A109" s="66" t="s">
        <v>549</v>
      </c>
      <c r="B109" s="70"/>
      <c r="C109" s="548"/>
      <c r="D109" s="548"/>
      <c r="E109" s="548"/>
      <c r="F109" s="550">
        <f t="shared" si="6"/>
        <v>0</v>
      </c>
    </row>
    <row r="110" spans="1:6" ht="12.75">
      <c r="A110" s="66" t="s">
        <v>552</v>
      </c>
      <c r="B110" s="70"/>
      <c r="C110" s="548"/>
      <c r="D110" s="548"/>
      <c r="E110" s="548"/>
      <c r="F110" s="550">
        <f t="shared" si="6"/>
        <v>0</v>
      </c>
    </row>
    <row r="111" spans="1:6" ht="12.75">
      <c r="A111" s="66">
        <v>5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6</v>
      </c>
      <c r="B112" s="67"/>
      <c r="C112" s="548"/>
      <c r="D112" s="548"/>
      <c r="E112" s="548"/>
      <c r="F112" s="550">
        <f t="shared" si="6"/>
        <v>0</v>
      </c>
    </row>
    <row r="113" spans="1:6" ht="12.75">
      <c r="A113" s="66">
        <v>7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8</v>
      </c>
      <c r="B114" s="67"/>
      <c r="C114" s="548"/>
      <c r="D114" s="548"/>
      <c r="E114" s="548"/>
      <c r="F114" s="550">
        <f t="shared" si="6"/>
        <v>0</v>
      </c>
    </row>
    <row r="115" spans="1:6" ht="12" customHeight="1">
      <c r="A115" s="66">
        <v>9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10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11</v>
      </c>
      <c r="B117" s="67"/>
      <c r="C117" s="548"/>
      <c r="D117" s="548"/>
      <c r="E117" s="548"/>
      <c r="F117" s="550">
        <f t="shared" si="6"/>
        <v>0</v>
      </c>
    </row>
    <row r="118" spans="1:6" ht="12.75">
      <c r="A118" s="66">
        <v>12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13</v>
      </c>
      <c r="B119" s="67"/>
      <c r="C119" s="548"/>
      <c r="D119" s="548"/>
      <c r="E119" s="548"/>
      <c r="F119" s="550">
        <f t="shared" si="6"/>
        <v>0</v>
      </c>
    </row>
    <row r="120" spans="1:6" ht="12" customHeight="1">
      <c r="A120" s="66">
        <v>14</v>
      </c>
      <c r="B120" s="67"/>
      <c r="C120" s="548"/>
      <c r="D120" s="548"/>
      <c r="E120" s="548"/>
      <c r="F120" s="550">
        <f t="shared" si="6"/>
        <v>0</v>
      </c>
    </row>
    <row r="121" spans="1:6" ht="12.75">
      <c r="A121" s="66">
        <v>15</v>
      </c>
      <c r="B121" s="67"/>
      <c r="C121" s="548"/>
      <c r="D121" s="548"/>
      <c r="E121" s="548"/>
      <c r="F121" s="550">
        <f t="shared" si="6"/>
        <v>0</v>
      </c>
    </row>
    <row r="122" spans="1:16" ht="15.75" customHeight="1">
      <c r="A122" s="68" t="s">
        <v>600</v>
      </c>
      <c r="B122" s="69" t="s">
        <v>845</v>
      </c>
      <c r="C122" s="535">
        <f>SUM(C107:C121)</f>
        <v>0</v>
      </c>
      <c r="D122" s="535"/>
      <c r="E122" s="535">
        <f>SUM(E107:E121)</f>
        <v>0</v>
      </c>
      <c r="F122" s="549">
        <f>SUM(F107:F121)</f>
        <v>0</v>
      </c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</row>
    <row r="123" spans="1:6" ht="12.75" customHeight="1">
      <c r="A123" s="66" t="s">
        <v>837</v>
      </c>
      <c r="B123" s="70"/>
      <c r="C123" s="535"/>
      <c r="D123" s="535"/>
      <c r="E123" s="535"/>
      <c r="F123" s="549"/>
    </row>
    <row r="124" spans="1:6" ht="12.75">
      <c r="A124" s="66" t="s">
        <v>543</v>
      </c>
      <c r="B124" s="70"/>
      <c r="C124" s="548"/>
      <c r="D124" s="548"/>
      <c r="E124" s="548"/>
      <c r="F124" s="550">
        <f>C124-E124</f>
        <v>0</v>
      </c>
    </row>
    <row r="125" spans="1:6" ht="12.75">
      <c r="A125" s="66" t="s">
        <v>546</v>
      </c>
      <c r="B125" s="70"/>
      <c r="C125" s="548"/>
      <c r="D125" s="548"/>
      <c r="E125" s="548"/>
      <c r="F125" s="550">
        <f aca="true" t="shared" si="7" ref="F125:F138">C125-E125</f>
        <v>0</v>
      </c>
    </row>
    <row r="126" spans="1:6" ht="12.75">
      <c r="A126" s="66" t="s">
        <v>549</v>
      </c>
      <c r="B126" s="70"/>
      <c r="C126" s="548"/>
      <c r="D126" s="548"/>
      <c r="E126" s="548"/>
      <c r="F126" s="550">
        <f t="shared" si="7"/>
        <v>0</v>
      </c>
    </row>
    <row r="127" spans="1:6" ht="12.75">
      <c r="A127" s="66" t="s">
        <v>552</v>
      </c>
      <c r="B127" s="70"/>
      <c r="C127" s="548"/>
      <c r="D127" s="548"/>
      <c r="E127" s="548"/>
      <c r="F127" s="550">
        <f t="shared" si="7"/>
        <v>0</v>
      </c>
    </row>
    <row r="128" spans="1:6" ht="12.75">
      <c r="A128" s="66">
        <v>5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6</v>
      </c>
      <c r="B129" s="67"/>
      <c r="C129" s="548"/>
      <c r="D129" s="548"/>
      <c r="E129" s="548"/>
      <c r="F129" s="550">
        <f t="shared" si="7"/>
        <v>0</v>
      </c>
    </row>
    <row r="130" spans="1:6" ht="12.75">
      <c r="A130" s="66">
        <v>7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8</v>
      </c>
      <c r="B131" s="67"/>
      <c r="C131" s="548"/>
      <c r="D131" s="548"/>
      <c r="E131" s="548"/>
      <c r="F131" s="550">
        <f t="shared" si="7"/>
        <v>0</v>
      </c>
    </row>
    <row r="132" spans="1:6" ht="12" customHeight="1">
      <c r="A132" s="66">
        <v>9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10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11</v>
      </c>
      <c r="B134" s="67"/>
      <c r="C134" s="548"/>
      <c r="D134" s="548"/>
      <c r="E134" s="548"/>
      <c r="F134" s="550">
        <f t="shared" si="7"/>
        <v>0</v>
      </c>
    </row>
    <row r="135" spans="1:6" ht="12.75">
      <c r="A135" s="66">
        <v>12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13</v>
      </c>
      <c r="B136" s="67"/>
      <c r="C136" s="548"/>
      <c r="D136" s="548"/>
      <c r="E136" s="548"/>
      <c r="F136" s="550">
        <f t="shared" si="7"/>
        <v>0</v>
      </c>
    </row>
    <row r="137" spans="1:6" ht="12" customHeight="1">
      <c r="A137" s="66">
        <v>14</v>
      </c>
      <c r="B137" s="67"/>
      <c r="C137" s="548"/>
      <c r="D137" s="548"/>
      <c r="E137" s="548"/>
      <c r="F137" s="550">
        <f t="shared" si="7"/>
        <v>0</v>
      </c>
    </row>
    <row r="138" spans="1:6" ht="12.75">
      <c r="A138" s="66">
        <v>15</v>
      </c>
      <c r="B138" s="67"/>
      <c r="C138" s="548"/>
      <c r="D138" s="548"/>
      <c r="E138" s="548"/>
      <c r="F138" s="550">
        <f t="shared" si="7"/>
        <v>0</v>
      </c>
    </row>
    <row r="139" spans="1:16" ht="17.25" customHeight="1">
      <c r="A139" s="68" t="s">
        <v>838</v>
      </c>
      <c r="B139" s="69" t="s">
        <v>846</v>
      </c>
      <c r="C139" s="535">
        <f>SUM(C124:C138)</f>
        <v>0</v>
      </c>
      <c r="D139" s="535"/>
      <c r="E139" s="535">
        <f>SUM(E124:E138)</f>
        <v>0</v>
      </c>
      <c r="F139" s="549">
        <f>SUM(F124:F138)</f>
        <v>0</v>
      </c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</row>
    <row r="140" spans="1:16" ht="19.5" customHeight="1">
      <c r="A140" s="71" t="s">
        <v>847</v>
      </c>
      <c r="B140" s="69" t="s">
        <v>848</v>
      </c>
      <c r="C140" s="535">
        <f>C139+C122+C105+C88</f>
        <v>0</v>
      </c>
      <c r="D140" s="535"/>
      <c r="E140" s="535">
        <f>E139+E122+E105+E88</f>
        <v>0</v>
      </c>
      <c r="F140" s="549">
        <f>F139+F122+F105+F88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6" ht="19.5" customHeight="1">
      <c r="A141" s="72"/>
      <c r="B141" s="73"/>
      <c r="C141" s="74"/>
      <c r="D141" s="74"/>
      <c r="E141" s="74"/>
      <c r="F141" s="74"/>
    </row>
    <row r="142" spans="1:6" ht="12.75">
      <c r="A142" s="558" t="str">
        <f>'справка №1-БАЛАНС'!A98</f>
        <v>Дата на съставяне: 17.04.2009 г</v>
      </c>
      <c r="B142" s="559"/>
      <c r="C142" s="643" t="s">
        <v>849</v>
      </c>
      <c r="D142" s="643"/>
      <c r="E142" s="643"/>
      <c r="F142" s="643"/>
    </row>
    <row r="143" spans="1:6" ht="12.75">
      <c r="A143" s="75"/>
      <c r="B143" s="76"/>
      <c r="C143" s="75"/>
      <c r="D143" s="75"/>
      <c r="E143" s="75"/>
      <c r="F143" s="75"/>
    </row>
    <row r="144" spans="1:6" ht="12.75">
      <c r="A144" s="75"/>
      <c r="B144" s="76"/>
      <c r="C144" s="643" t="s">
        <v>856</v>
      </c>
      <c r="D144" s="643"/>
      <c r="E144" s="643"/>
      <c r="F144" s="643"/>
    </row>
    <row r="145" spans="3:5" ht="12.75">
      <c r="C145" s="75"/>
      <c r="E145" s="75"/>
    </row>
  </sheetData>
  <sheetProtection/>
  <mergeCells count="5">
    <mergeCell ref="C144:F144"/>
    <mergeCell ref="C142:F142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73:F87 C90:F104 C107:F121 C56:F68 C29:F43 C12:F26 C46:F53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2009-04-28T18:42:13Z</cp:lastPrinted>
  <dcterms:created xsi:type="dcterms:W3CDTF">2000-06-29T12:02:40Z</dcterms:created>
  <dcterms:modified xsi:type="dcterms:W3CDTF">2009-04-30T11:36:07Z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