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tabRatio="57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<sst xmlns="http://schemas.openxmlformats.org/spreadsheetml/2006/main" count="1066" uniqueCount="884">
  <si>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</si>
  <si>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</si>
  <si>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</si>
  <si>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</si>
  <si>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</si>
  <si>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</si>
  <si>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</si>
  <si>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</si>
  <si>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</si>
  <si>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</si>
  <si>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</si>
  <si>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</si>
  <si>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</si>
  <si>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</si>
  <si>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</si>
  <si>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</si>
  <si>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</si>
  <si>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</si>
  <si>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</si>
  <si>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</si>
  <si>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</si>
  <si>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</si>
  <si>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</si>
  <si>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</si>
  <si>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</si>
  <si>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</si>
  <si>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</si>
  <si>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</si>
  <si>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</si>
  <si>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</si>
  <si>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</si>
  <si>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</si>
  <si>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</si>
  <si>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</si>
  <si>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</si>
  <si>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</si>
  <si>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</si>
  <si>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</si>
  <si>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</si>
  <si>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</si>
  <si>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</si>
  <si>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</si>
  <si>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</si>
  <si>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</si>
  <si>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</si>
  <si>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</si>
  <si>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</si>
  <si>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</si>
  <si>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</si>
  <si>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</si>
  <si>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</si>
  <si>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</si>
  <si>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</si>
  <si>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</si>
  <si>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</si>
  <si>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</si>
  <si>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</si>
  <si>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</si>
  <si>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</si>
  <si>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</si>
  <si>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</si>
  <si>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</si>
  <si>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</si>
  <si>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</si>
  <si>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</si>
  <si>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</si>
  <si>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</si>
  <si>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</si>
  <si>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</si>
  <si>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</si>
  <si>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</si>
  <si>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</si>
  <si>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</si>
  <si>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</si>
  <si>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</si>
  <si>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</si>
  <si>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</si>
  <si>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</si>
  <si>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</si>
  <si>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</si>
  <si>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</si>
  <si>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</si>
  <si>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</si>
  <si>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</si>
  <si>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</si>
  <si>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</si>
  <si>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</si>
  <si>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</si>
  <si>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</si>
  <si>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</si>
  <si>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</si>
  <si>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</si>
  <si>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</si>
  <si>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</si>
  <si>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</si>
  <si>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</si>
  <si>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</si>
  <si>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</si>
  <si>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</si>
  <si>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</si>
  <si>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</si>
  <si>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</si>
  <si>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</si>
  <si>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</si>
  <si>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</si>
  <si>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</si>
  <si>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</si>
  <si>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</si>
  <si>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</si>
  <si>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</si>
  <si>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</si>
  <si>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</si>
  <si>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</si>
  <si>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</si>
  <si>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</si>
  <si>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</si>
  <si>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</si>
  <si>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</si>
  <si>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</si>
  <si>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</si>
  <si>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</si>
  <si>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</si>
  <si>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</si>
  <si>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</si>
  <si>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</si>
  <si>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</si>
  <si>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</si>
  <si>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</si>
  <si>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</si>
  <si>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</si>
  <si>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</si>
  <si>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</si>
  <si>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</si>
  <si>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</si>
  <si>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</si>
  <si>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</si>
  <si>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</si>
  <si>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</si>
  <si>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</si>
  <si>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</si>
  <si>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</si>
  <si>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</si>
  <si>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</si>
  <si>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</si>
  <si>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</si>
  <si>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</si>
  <si>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</si>
  <si>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</si>
  <si>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</si>
  <si>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</si>
  <si>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</si>
  <si>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</si>
  <si>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</si>
  <si>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</si>
  <si>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</si>
  <si>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</si>
  <si>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</si>
  <si>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</si>
  <si>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</si>
  <si>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</si>
  <si>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</si>
  <si>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</si>
  <si>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</si>
  <si>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</si>
  <si>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</si>
  <si>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</si>
  <si>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</si>
  <si>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</si>
  <si>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</si>
  <si>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</si>
  <si>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</si>
  <si>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</si>
  <si>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</si>
  <si>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</si>
  <si>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</si>
  <si>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</si>
  <si>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</si>
  <si>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</si>
  <si>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</si>
  <si>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</si>
  <si>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</si>
  <si>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</si>
  <si>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</si>
  <si>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</si>
  <si>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</si>
  <si>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</si>
  <si>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</si>
  <si>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</si>
  <si>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</si>
  <si>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</si>
  <si>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</si>
  <si>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</si>
  <si>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</si>
  <si>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</si>
  <si>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</si>
  <si>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</si>
  <si>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</si>
  <si>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</si>
  <si>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</si>
  <si>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</si>
  <si>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</si>
  <si>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</si>
  <si>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</si>
  <si>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</si>
  <si>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</si>
  <si>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</si>
  <si>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</si>
  <si>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</si>
  <si>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</si>
  <si>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</si>
  <si>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</si>
  <si>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</si>
  <si>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</si>
  <si>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</si>
  <si>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</si>
  <si>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</si>
  <si>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</si>
  <si>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</si>
  <si>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</si>
  <si>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</si>
  <si>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</si>
  <si>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</si>
  <si>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</si>
  <si>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</si>
  <si>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</si>
  <si>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</si>
  <si>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</si>
  <si>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</si>
  <si>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</si>
  <si>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</si>
  <si>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</si>
  <si>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</si>
  <si>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</si>
  <si>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</si>
  <si>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</si>
  <si>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</si>
  <si>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</si>
  <si>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</si>
  <si>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</si>
  <si>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</si>
  <si>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</si>
  <si>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</si>
  <si>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</si>
  <si>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</si>
  <si>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</si>
  <si>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</si>
  <si>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</si>
  <si>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</si>
  <si>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</si>
  <si>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</si>
  <si>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</si>
  <si>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</si>
  <si>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</si>
  <si>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</si>
  <si>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</si>
  <si>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</si>
  <si>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</si>
  <si>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</si>
  <si>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</si>
  <si>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</si>
  <si>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</si>
  <si>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</si>
  <si>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</si>
  <si>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</si>
  <si>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</si>
  <si>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</si>
  <si>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</si>
  <si>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</si>
  <si>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</si>
  <si>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</si>
  <si>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</si>
  <si>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</si>
  <si>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</si>
  <si>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</si>
  <si>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</si>
  <si>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</si>
  <si>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</si>
  <si>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</si>
  <si>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</si>
  <si>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</si>
  <si>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</si>
  <si>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</si>
  <si>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</si>
  <si>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</si>
  <si>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</si>
  <si>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</si>
  <si>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</si>
  <si>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</si>
  <si>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</si>
  <si>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</si>
  <si>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</si>
  <si>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</si>
  <si>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</si>
  <si>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</si>
  <si>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</si>
  <si>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</si>
  <si>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</si>
  <si>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</si>
  <si>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</si>
  <si>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</si>
  <si>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</si>
  <si>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</si>
  <si>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</si>
  <si>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</si>
  <si>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</si>
  <si>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</si>
  <si>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</si>
  <si>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</si>
  <si>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</si>
  <si>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</si>
  <si>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</si>
  <si>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</si>
  <si>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</si>
  <si>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</si>
  <si>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</si>
  <si>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</si>
  <si>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</si>
  <si>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</si>
  <si>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</si>
  <si>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</si>
  <si>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</si>
  <si>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</si>
  <si>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</si>
  <si>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</si>
  <si>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</si>
  <si>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</si>
  <si>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</si>
  <si>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</si>
  <si>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</si>
  <si>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</si>
  <si>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</si>
  <si>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</si>
  <si>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</si>
  <si>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</si>
  <si>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</si>
  <si>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</si>
  <si>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</si>
  <si>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</si>
  <si>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</si>
  <si>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</si>
  <si>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</si>
  <si>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</si>
  <si>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</si>
  <si>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</si>
  <si>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</si>
  <si>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</si>
  <si>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</si>
  <si>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</si>
  <si>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</si>
  <si>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</si>
  <si>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</si>
  <si>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</si>
  <si>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</si>
  <si>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</si>
  <si>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</si>
  <si>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</si>
  <si>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</si>
  <si>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</si>
  <si>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</si>
  <si>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</si>
  <si>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</si>
  <si>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</si>
  <si>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</si>
  <si>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</si>
  <si>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</si>
  <si>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</si>
  <si>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</si>
  <si>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</si>
  <si>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</si>
  <si>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</si>
  <si>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</si>
  <si>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</si>
  <si>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</si>
  <si>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</si>
  <si>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</si>
  <si>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</si>
  <si>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</si>
  <si>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</si>
  <si>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</si>
  <si>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</si>
  <si>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</si>
  <si>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</si>
  <si>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</si>
  <si>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</si>
  <si>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</si>
  <si>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</si>
  <si>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</si>
  <si>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</si>
  <si>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</si>
  <si>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</si>
  <si>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</si>
  <si>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</si>
  <si>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</si>
  <si>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</si>
  <si>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</si>
  <si>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</si>
  <si>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</si>
  <si>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</si>
  <si>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</si>
  <si>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</si>
  <si>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</si>
  <si>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</si>
  <si>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</si>
  <si>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</si>
  <si>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</si>
  <si>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</si>
  <si>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</si>
  <si>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</si>
  <si>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</si>
  <si>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</si>
  <si>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</si>
  <si>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</si>
  <si>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</si>
  <si>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</si>
  <si>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</si>
  <si>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</si>
  <si>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</si>
  <si>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</si>
  <si>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</si>
  <si>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</si>
  <si>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</si>
  <si>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</si>
  <si>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</si>
  <si>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</si>
  <si>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</si>
  <si>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</si>
  <si>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</si>
  <si>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</si>
  <si>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</si>
  <si>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</si>
  <si>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</si>
  <si>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</si>
  <si>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</si>
  <si>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</si>
  <si>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</si>
  <si>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</si>
  <si>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</si>
  <si>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</si>
  <si>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</si>
  <si>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</si>
  <si>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</si>
  <si>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</si>
  <si>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</si>
  <si>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</si>
  <si>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</si>
  <si>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</si>
  <si>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</si>
  <si>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</si>
  <si>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</si>
  <si>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</si>
  <si>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</si>
  <si>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</si>
  <si>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</si>
  <si>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</si>
  <si>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</si>
  <si>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</si>
  <si>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</si>
  <si>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</si>
  <si>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</si>
  <si>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</si>
  <si>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</si>
  <si>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</si>
  <si>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</si>
  <si>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</si>
  <si>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</si>
  <si>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</si>
  <si>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</si>
  <si>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</si>
  <si>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</si>
  <si>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</si>
  <si>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</si>
  <si>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</si>
  <si>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</si>
  <si>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</si>
  <si>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</si>
  <si>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</si>
  <si>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</si>
  <si>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</si>
  <si>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</si>
  <si>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</si>
  <si>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</si>
  <si>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</si>
  <si>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</si>
  <si>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</si>
  <si>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</si>
  <si>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</si>
  <si>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</si>
  <si>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</si>
  <si>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</si>
  <si>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</si>
  <si>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</si>
  <si>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</si>
  <si>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</si>
  <si>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</si>
  <si>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</si>
  <si>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</si>
  <si>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</si>
  <si>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</si>
  <si>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</si>
  <si>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</si>
  <si>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</si>
  <si>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</si>
  <si>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</si>
  <si>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</si>
  <si>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</si>
  <si>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</si>
  <si>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</si>
  <si>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</si>
  <si>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</si>
  <si>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</si>
  <si>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</si>
  <si>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</si>
  <si>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</si>
  <si>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</si>
  <si>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</si>
  <si>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</si>
  <si>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</si>
  <si>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</si>
  <si>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</si>
  <si>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</si>
  <si>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</si>
  <si>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</si>
  <si>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</si>
  <si>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</si>
  <si>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</si>
  <si>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</si>
  <si>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</si>
  <si>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</si>
  <si>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</si>
  <si>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</si>
  <si>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</si>
  <si>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</si>
  <si>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</si>
  <si>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</si>
  <si>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</si>
  <si>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</si>
  <si>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</si>
  <si>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</si>
  <si>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</si>
  <si>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</si>
  <si>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</si>
  <si>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</si>
  <si>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</si>
  <si>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</si>
  <si>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</si>
  <si>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</si>
  <si>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</si>
  <si>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</si>
  <si>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</si>
  <si>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</si>
  <si>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</si>
  <si>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</si>
  <si>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</si>
  <si>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</si>
  <si>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</si>
  <si>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</si>
  <si>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</si>
  <si>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</si>
  <si>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</si>
  <si>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</si>
  <si>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</si>
  <si>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</si>
  <si>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</si>
  <si>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</si>
  <si>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</si>
  <si>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</si>
  <si>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</si>
  <si>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</si>
  <si>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</si>
  <si>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</si>
  <si>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</si>
  <si>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</si>
  <si>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</si>
  <si>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</si>
  <si>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</si>
  <si>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</si>
  <si>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</si>
  <si>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</si>
  <si>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</si>
  <si>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</si>
  <si>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</si>
  <si>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</si>
  <si>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</si>
  <si>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</si>
  <si>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</si>
  <si>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</si>
  <si>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</si>
  <si>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</si>
  <si>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</si>
  <si>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</si>
  <si>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</si>
  <si>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</si>
  <si>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</si>
  <si>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</si>
  <si>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</si>
  <si>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</si>
  <si>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</si>
  <si>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</si>
  <si>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</si>
  <si>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</si>
  <si>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</si>
  <si>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</si>
  <si>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</si>
  <si>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</si>
  <si>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</si>
  <si>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</si>
  <si>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</si>
  <si>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</si>
  <si>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</si>
  <si>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</si>
  <si>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</si>
  <si>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</si>
  <si>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</si>
  <si>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</si>
  <si>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</si>
  <si>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</si>
  <si>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</si>
  <si>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</si>
  <si>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</si>
  <si>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</si>
  <si>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</si>
  <si>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</si>
  <si>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</si>
  <si>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</si>
  <si>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</si>
  <si>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</si>
  <si>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</si>
  <si>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</si>
  <si>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</si>
  <si>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</si>
  <si>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</si>
  <si>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</si>
  <si>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</si>
  <si>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</si>
  <si>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</si>
  <si>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</si>
  <si>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</si>
  <si>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</si>
  <si>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</si>
  <si>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</si>
  <si>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</si>
  <si>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</si>
  <si>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</si>
  <si>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</si>
  <si>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</si>
  <si>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</si>
  <si>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</si>
  <si>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</si>
  <si>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</si>
  <si>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</si>
  <si>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</si>
  <si>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</si>
  <si>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</si>
  <si>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</si>
  <si>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</si>
  <si>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</si>
  <si>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</si>
  <si>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</si>
  <si>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</si>
  <si>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</si>
  <si>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</si>
  <si>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</si>
  <si>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</si>
  <si>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</si>
  <si>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</si>
  <si>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</si>
  <si>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</si>
  <si>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</si>
  <si>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</si>
  <si>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</si>
  <si>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</si>
  <si>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</si>
  <si>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</si>
  <si>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</si>
  <si>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</si>
  <si>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</si>
  <si>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</si>
  <si>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</si>
  <si>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</si>
  <si>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</si>
  <si>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</si>
  <si>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</si>
  <si>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</si>
  <si>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</si>
  <si>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</si>
  <si>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</si>
  <si>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</si>
  <si>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</si>
  <si>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</si>
  <si>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</si>
  <si>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</si>
  <si>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</si>
  <si>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</si>
  <si>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</si>
  <si>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</si>
  <si>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</si>
  <si>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</si>
  <si>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</si>
  <si>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</si>
  <si>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</si>
  <si>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</si>
  <si>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</si>
  <si>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</si>
  <si>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</si>
  <si>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</si>
  <si>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</si>
  <si>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</si>
  <si>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</si>
  <si>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</si>
  <si>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</si>
  <si>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</si>
  <si>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</si>
  <si>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</si>
  <si>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</si>
  <si>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</si>
  <si>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</si>
  <si>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</si>
  <si>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</si>
  <si>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</si>
  <si>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</si>
  <si>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</si>
  <si>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</si>
  <si>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</si>
  <si>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</si>
  <si>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</si>
  <si>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</si>
  <si>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</si>
  <si>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</si>
  <si>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</si>
  <si>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</si>
  <si>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</si>
  <si>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</si>
  <si>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</si>
  <si>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</si>
  <si>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</si>
  <si>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</si>
  <si>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</si>
  <si>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</si>
  <si>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</si>
  <si>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</si>
  <si>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</si>
  <si>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</si>
  <si>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</si>
  <si>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</si>
  <si>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</si>
  <si>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</si>
  <si>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</si>
  <si>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</si>
  <si>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</si>
  <si>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</si>
  <si>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</si>
  <si>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</si>
  <si>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</si>
  <si>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</si>
  <si>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</si>
  <si>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</si>
  <si>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</si>
  <si>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</si>
  <si>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</si>
  <si>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</si>
  <si>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</si>
  <si>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</si>
  <si>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</si>
  <si>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</si>
  <si>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</si>
  <si>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</si>
  <si>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</si>
  <si>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</si>
  <si>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</si>
  <si>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</si>
  <si>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</si>
  <si>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</si>
  <si>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</si>
  <si>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</si>
  <si>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</si>
  <si>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</si>
  <si>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</si>
  <si>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</si>
  <si>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</si>
  <si>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</si>
  <si>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</si>
  <si>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</si>
  <si>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</si>
  <si>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</si>
  <si>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</si>
  <si>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</si>
  <si>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</si>
  <si>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</si>
  <si>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</si>
  <si>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</si>
  <si>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</si>
  <si>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</si>
  <si>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</si>
  <si>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</si>
  <si>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</si>
  <si>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</si>
  <si>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</si>
  <si>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</si>
  <si>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</si>
  <si>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</si>
  <si>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</si>
  <si>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</si>
  <si>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</si>
  <si>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</si>
  <si>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</si>
  <si>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</si>
  <si>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</si>
  <si>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</si>
  <si>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</si>
  <si>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</si>
  <si>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</si>
  <si>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</si>
  <si>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</si>
  <si>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</si>
  <si>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</si>
  <si>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</si>
  <si>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</si>
  <si>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</si>
  <si>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</si>
  <si>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</si>
  <si>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</si>
  <si>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</si>
  <si>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</si>
  <si>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</si>
  <si>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</si>
  <si>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</si>
  <si>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</si>
  <si>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</si>
  <si>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</si>
  <si>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</si>
  <si>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</si>
  <si>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</si>
  <si>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</si>
  <si>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</si>
  <si>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</si>
  <si>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</si>
  <si>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</si>
  <si>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</si>
  <si>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</si>
  <si>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</si>
  <si>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</si>
  <si>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</si>
  <si>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</si>
  <si>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</si>
  <si>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</si>
  <si>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</si>
  <si>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</si>
  <si>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</si>
  <si>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</si>
  <si>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</si>
  <si>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</si>
  <si>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</si>
  <si>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</si>
  <si>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</si>
  <si>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</si>
  <si>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</si>
  <si>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</si>
  <si>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</si>
  <si>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</si>
  <si>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</si>
  <si>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</si>
  <si>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</si>
  <si>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</si>
  <si>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</si>
  <si>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Вид на отчета: консолидиран /неконсолидиран: </t>
  </si>
  <si>
    <t>инж.П.Стайков</t>
  </si>
  <si>
    <t>ов</t>
  </si>
  <si>
    <t xml:space="preserve">инж.П.Стайк </t>
  </si>
  <si>
    <t>825397012Ю</t>
  </si>
  <si>
    <t>1 Норекс 1 ЕООД</t>
  </si>
  <si>
    <t>1.Сатура АД</t>
  </si>
  <si>
    <t>2.Консорциум Елмаш</t>
  </si>
  <si>
    <t>3.Цот СП</t>
  </si>
  <si>
    <t>НЕКОНСОЛИДИРАН</t>
  </si>
  <si>
    <t>4.Инов. Фонд Здраве и дълголетие</t>
  </si>
  <si>
    <t>АТЛАС ЮНИОН ЕООД</t>
  </si>
  <si>
    <t>АТЛАС ЮЮНИОН ЕООД</t>
  </si>
  <si>
    <t>Дата на съставяне: 25.07.2008 г</t>
  </si>
  <si>
    <t xml:space="preserve">Дата  на съставяне: 25.07.2008 г                                                                                                                                </t>
  </si>
  <si>
    <t>Дата на съставяне:25.07.2008 г</t>
  </si>
  <si>
    <t>Дата на съставяне: 20.10.2008 г</t>
  </si>
  <si>
    <t>20.10.2008 г</t>
  </si>
  <si>
    <t xml:space="preserve">Дата на съставяне:  20.10..2008 г                                     </t>
  </si>
  <si>
    <t>"ОПТЕЛА ЛАЗЕРНИ ТЕХНОЛОГИИ" АД гр.ПЛОВДИВ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</si>
</sst>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6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D1">
      <selection activeCell="E3" sqref="E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883</v>
      </c>
      <c r="F3" s="217" t="s">
        <v>2</v>
      </c>
      <c r="G3" s="172"/>
      <c r="H3" s="461" t="s">
        <v>868</v>
      </c>
    </row>
    <row r="4" spans="1:8" ht="15">
      <c r="A4" s="576" t="s">
        <v>864</v>
      </c>
      <c r="B4" s="582"/>
      <c r="C4" s="582"/>
      <c r="D4" s="582"/>
      <c r="E4" s="504" t="s">
        <v>873</v>
      </c>
      <c r="F4" s="578" t="s">
        <v>3</v>
      </c>
      <c r="G4" s="579"/>
      <c r="H4" s="461">
        <v>717</v>
      </c>
    </row>
    <row r="5" spans="1:8" ht="15">
      <c r="A5" s="576" t="s">
        <v>4</v>
      </c>
      <c r="B5" s="577"/>
      <c r="C5" s="577"/>
      <c r="D5" s="577"/>
      <c r="E5" s="505">
        <v>39721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11</v>
      </c>
      <c r="D11" s="151">
        <v>11</v>
      </c>
      <c r="E11" s="237" t="s">
        <v>21</v>
      </c>
      <c r="F11" s="242" t="s">
        <v>22</v>
      </c>
      <c r="G11" s="152">
        <v>9135</v>
      </c>
      <c r="H11" s="152">
        <v>315</v>
      </c>
    </row>
    <row r="12" spans="1:8" ht="15">
      <c r="A12" s="235" t="s">
        <v>23</v>
      </c>
      <c r="B12" s="241" t="s">
        <v>24</v>
      </c>
      <c r="C12" s="151">
        <v>34</v>
      </c>
      <c r="D12" s="151">
        <v>32</v>
      </c>
      <c r="E12" s="237" t="s">
        <v>25</v>
      </c>
      <c r="F12" s="242" t="s">
        <v>26</v>
      </c>
      <c r="G12" s="153">
        <v>9135</v>
      </c>
      <c r="H12" s="153">
        <v>315</v>
      </c>
    </row>
    <row r="13" spans="1:8" ht="15">
      <c r="A13" s="235" t="s">
        <v>27</v>
      </c>
      <c r="B13" s="241" t="s">
        <v>28</v>
      </c>
      <c r="C13" s="151">
        <v>63</v>
      </c>
      <c r="D13" s="151">
        <v>147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123</v>
      </c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2</v>
      </c>
      <c r="D15" s="151">
        <v>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>
        <v>40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180</v>
      </c>
      <c r="D17" s="151">
        <v>167</v>
      </c>
      <c r="E17" s="243" t="s">
        <v>45</v>
      </c>
      <c r="F17" s="245" t="s">
        <v>46</v>
      </c>
      <c r="G17" s="154">
        <f>G11+G14+G15+G16</f>
        <v>9135</v>
      </c>
      <c r="H17" s="154">
        <f>H11+H14+H15+H16</f>
        <v>315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26</v>
      </c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439</v>
      </c>
      <c r="D19" s="155">
        <f>SUM(D11:D18)</f>
        <v>399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12557</v>
      </c>
      <c r="D20" s="151">
        <v>12557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3298</v>
      </c>
      <c r="H21" s="156">
        <f>SUM(H22:H24)</f>
        <v>3297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26</v>
      </c>
      <c r="H22" s="152">
        <v>25</v>
      </c>
    </row>
    <row r="23" spans="1:13" ht="15">
      <c r="A23" s="235" t="s">
        <v>65</v>
      </c>
      <c r="B23" s="241" t="s">
        <v>66</v>
      </c>
      <c r="C23" s="151">
        <v>1</v>
      </c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/>
      <c r="E24" s="237" t="s">
        <v>71</v>
      </c>
      <c r="F24" s="242" t="s">
        <v>72</v>
      </c>
      <c r="G24" s="152">
        <v>3272</v>
      </c>
      <c r="H24" s="152">
        <v>3272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3298</v>
      </c>
      <c r="H25" s="154">
        <f>H19+H20+H21</f>
        <v>3297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</v>
      </c>
      <c r="D27" s="155">
        <f>SUM(D23:D26)</f>
        <v>1</v>
      </c>
      <c r="E27" s="253" t="s">
        <v>82</v>
      </c>
      <c r="F27" s="242" t="s">
        <v>83</v>
      </c>
      <c r="G27" s="154">
        <f>SUM(G28:G30)</f>
        <v>288</v>
      </c>
      <c r="H27" s="154">
        <f>SUM(H28:H30)</f>
        <v>-21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309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-21</v>
      </c>
      <c r="H29" s="316">
        <v>-21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9129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-18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270</v>
      </c>
      <c r="H33" s="154">
        <f>H27+H31+H32</f>
        <v>9108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259</v>
      </c>
      <c r="D34" s="155">
        <f>SUM(D35:D38)</f>
        <v>110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219</v>
      </c>
      <c r="D35" s="151">
        <v>70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12703</v>
      </c>
      <c r="H36" s="154">
        <f>H25+H17+H33</f>
        <v>12720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38</v>
      </c>
      <c r="D37" s="151">
        <v>38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2</v>
      </c>
      <c r="D38" s="151">
        <v>2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>
        <v>182</v>
      </c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259</v>
      </c>
      <c r="D45" s="155">
        <f>D34+D39+D44</f>
        <v>110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321</v>
      </c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321</v>
      </c>
      <c r="H49" s="154">
        <f>SUM(H43:H48)</f>
        <v>182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1014</v>
      </c>
      <c r="H53" s="152">
        <v>1014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13256</v>
      </c>
      <c r="D55" s="155">
        <f>D19+D20+D21+D27+D32+D45+D51+D53+D54</f>
        <v>13067</v>
      </c>
      <c r="E55" s="237" t="s">
        <v>171</v>
      </c>
      <c r="F55" s="261" t="s">
        <v>172</v>
      </c>
      <c r="G55" s="154">
        <f>G49+G51+G52+G53+G54</f>
        <v>1335</v>
      </c>
      <c r="H55" s="154">
        <f>H49+H51+H52+H53+H54</f>
        <v>1196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52</v>
      </c>
      <c r="D58" s="151">
        <v>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9</v>
      </c>
      <c r="D59" s="151">
        <v>9</v>
      </c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14</v>
      </c>
      <c r="D60" s="151">
        <v>13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1587</v>
      </c>
      <c r="D61" s="151">
        <v>1522</v>
      </c>
      <c r="E61" s="243" t="s">
        <v>188</v>
      </c>
      <c r="F61" s="272" t="s">
        <v>189</v>
      </c>
      <c r="G61" s="154">
        <f>SUM(G62:G68)</f>
        <v>1680</v>
      </c>
      <c r="H61" s="154">
        <f>SUM(H62:H68)</f>
        <v>1241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401</v>
      </c>
      <c r="H62" s="152">
        <v>183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>
        <v>82</v>
      </c>
      <c r="H63" s="152">
        <v>82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1662</v>
      </c>
      <c r="D64" s="155">
        <f>SUM(D58:D63)</f>
        <v>1599</v>
      </c>
      <c r="E64" s="237" t="s">
        <v>199</v>
      </c>
      <c r="F64" s="242" t="s">
        <v>200</v>
      </c>
      <c r="G64" s="152">
        <v>547</v>
      </c>
      <c r="H64" s="152">
        <v>155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>
        <v>339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430</v>
      </c>
      <c r="H66" s="152">
        <v>304</v>
      </c>
    </row>
    <row r="67" spans="1:8" ht="15">
      <c r="A67" s="235" t="s">
        <v>206</v>
      </c>
      <c r="B67" s="241" t="s">
        <v>207</v>
      </c>
      <c r="C67" s="151">
        <v>471</v>
      </c>
      <c r="D67" s="151">
        <v>443</v>
      </c>
      <c r="E67" s="237" t="s">
        <v>208</v>
      </c>
      <c r="F67" s="242" t="s">
        <v>209</v>
      </c>
      <c r="G67" s="152">
        <v>158</v>
      </c>
      <c r="H67" s="152">
        <v>118</v>
      </c>
    </row>
    <row r="68" spans="1:8" ht="15">
      <c r="A68" s="235" t="s">
        <v>210</v>
      </c>
      <c r="B68" s="241" t="s">
        <v>211</v>
      </c>
      <c r="C68" s="151">
        <v>272</v>
      </c>
      <c r="D68" s="151">
        <v>120</v>
      </c>
      <c r="E68" s="237" t="s">
        <v>212</v>
      </c>
      <c r="F68" s="242" t="s">
        <v>213</v>
      </c>
      <c r="G68" s="152">
        <v>62</v>
      </c>
      <c r="H68" s="152">
        <v>60</v>
      </c>
    </row>
    <row r="69" spans="1:8" ht="15">
      <c r="A69" s="235" t="s">
        <v>214</v>
      </c>
      <c r="B69" s="241" t="s">
        <v>215</v>
      </c>
      <c r="C69" s="151"/>
      <c r="D69" s="151">
        <v>51</v>
      </c>
      <c r="E69" s="251" t="s">
        <v>77</v>
      </c>
      <c r="F69" s="242" t="s">
        <v>216</v>
      </c>
      <c r="G69" s="152">
        <v>245</v>
      </c>
      <c r="H69" s="152">
        <v>334</v>
      </c>
    </row>
    <row r="70" spans="1:8" ht="15">
      <c r="A70" s="235" t="s">
        <v>217</v>
      </c>
      <c r="B70" s="241" t="s">
        <v>218</v>
      </c>
      <c r="C70" s="151">
        <v>4</v>
      </c>
      <c r="D70" s="151">
        <v>5</v>
      </c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>
        <v>2</v>
      </c>
      <c r="D71" s="151"/>
      <c r="E71" s="253" t="s">
        <v>45</v>
      </c>
      <c r="F71" s="273" t="s">
        <v>223</v>
      </c>
      <c r="G71" s="161">
        <f>G59+G60+G61+G69+G70</f>
        <v>1925</v>
      </c>
      <c r="H71" s="161">
        <f>H59+H60+H61+H69+H70</f>
        <v>1575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>
        <v>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294</v>
      </c>
      <c r="D74" s="151">
        <v>203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1043</v>
      </c>
      <c r="D75" s="155">
        <f>SUM(D67:D74)</f>
        <v>823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1925</v>
      </c>
      <c r="H79" s="162">
        <f>H71+H74+H75+H76</f>
        <v>1575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</v>
      </c>
      <c r="D88" s="151">
        <v>1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</v>
      </c>
      <c r="D91" s="155">
        <f>SUM(D87:D90)</f>
        <v>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2707</v>
      </c>
      <c r="D93" s="155">
        <f>D64+D75+D84+D91+D92</f>
        <v>2424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15963</v>
      </c>
      <c r="D94" s="164">
        <f>D93+D55</f>
        <v>15491</v>
      </c>
      <c r="E94" s="449" t="s">
        <v>269</v>
      </c>
      <c r="F94" s="289" t="s">
        <v>270</v>
      </c>
      <c r="G94" s="165">
        <f>G36+G39+G55+G79</f>
        <v>15963</v>
      </c>
      <c r="H94" s="165">
        <f>H36+H39+H55+H79</f>
        <v>15491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0" t="s">
        <v>272</v>
      </c>
      <c r="D98" s="580"/>
      <c r="E98" s="580"/>
      <c r="F98" s="170"/>
      <c r="G98" s="171"/>
      <c r="H98" s="172"/>
      <c r="M98" s="157"/>
    </row>
    <row r="99" spans="3:8" ht="15">
      <c r="C99" s="45" t="s">
        <v>875</v>
      </c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856</v>
      </c>
      <c r="D100" s="581"/>
      <c r="E100" s="581"/>
    </row>
    <row r="101" spans="3:4" ht="12.75">
      <c r="C101" s="169" t="s">
        <v>867</v>
      </c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21" header="0.15748031496062992" footer="0.15748031496062992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B21">
      <selection activeCell="D48" sqref="D48:H48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"ОПТЕЛА ЛАЗЕРНИ ТЕХНОЛОГИИ" АД гр.ПЛОВДИВ</v>
      </c>
      <c r="C2" s="585"/>
      <c r="D2" s="585"/>
      <c r="E2" s="585"/>
      <c r="F2" s="587" t="s">
        <v>2</v>
      </c>
      <c r="G2" s="587"/>
      <c r="H2" s="526" t="str">
        <f>'справка №1-БАЛАНС'!H3</f>
        <v>825397012Ю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717</v>
      </c>
    </row>
    <row r="4" spans="1:8" ht="17.25" customHeight="1">
      <c r="A4" s="467" t="s">
        <v>4</v>
      </c>
      <c r="B4" s="586">
        <f>'справка №1-БАЛАНС'!E5</f>
        <v>39721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124</v>
      </c>
      <c r="D9" s="46">
        <v>72</v>
      </c>
      <c r="E9" s="298" t="s">
        <v>284</v>
      </c>
      <c r="F9" s="549" t="s">
        <v>285</v>
      </c>
      <c r="G9" s="550">
        <v>128</v>
      </c>
      <c r="H9" s="550"/>
    </row>
    <row r="10" spans="1:8" ht="12">
      <c r="A10" s="298" t="s">
        <v>286</v>
      </c>
      <c r="B10" s="299" t="s">
        <v>287</v>
      </c>
      <c r="C10" s="46">
        <v>106</v>
      </c>
      <c r="D10" s="46">
        <v>110</v>
      </c>
      <c r="E10" s="298" t="s">
        <v>288</v>
      </c>
      <c r="F10" s="549" t="s">
        <v>289</v>
      </c>
      <c r="G10" s="550"/>
      <c r="H10" s="550">
        <v>5</v>
      </c>
    </row>
    <row r="11" spans="1:8" ht="12">
      <c r="A11" s="298" t="s">
        <v>290</v>
      </c>
      <c r="B11" s="299" t="s">
        <v>291</v>
      </c>
      <c r="C11" s="46">
        <v>32</v>
      </c>
      <c r="D11" s="46">
        <v>35</v>
      </c>
      <c r="E11" s="300" t="s">
        <v>292</v>
      </c>
      <c r="F11" s="549" t="s">
        <v>293</v>
      </c>
      <c r="G11" s="550">
        <v>24</v>
      </c>
      <c r="H11" s="550">
        <v>42</v>
      </c>
    </row>
    <row r="12" spans="1:8" ht="12">
      <c r="A12" s="298" t="s">
        <v>294</v>
      </c>
      <c r="B12" s="299" t="s">
        <v>295</v>
      </c>
      <c r="C12" s="46">
        <v>195</v>
      </c>
      <c r="D12" s="46">
        <v>30</v>
      </c>
      <c r="E12" s="300" t="s">
        <v>77</v>
      </c>
      <c r="F12" s="549" t="s">
        <v>296</v>
      </c>
      <c r="G12" s="550">
        <v>337</v>
      </c>
      <c r="H12" s="550">
        <v>63</v>
      </c>
    </row>
    <row r="13" spans="1:18" ht="12">
      <c r="A13" s="298" t="s">
        <v>297</v>
      </c>
      <c r="B13" s="299" t="s">
        <v>298</v>
      </c>
      <c r="C13" s="46">
        <v>36</v>
      </c>
      <c r="D13" s="46">
        <v>7</v>
      </c>
      <c r="E13" s="301" t="s">
        <v>50</v>
      </c>
      <c r="F13" s="551" t="s">
        <v>299</v>
      </c>
      <c r="G13" s="548">
        <f>SUM(G9:G12)</f>
        <v>489</v>
      </c>
      <c r="H13" s="548">
        <f>SUM(H9:H12)</f>
        <v>110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>
        <v>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-65</v>
      </c>
      <c r="D15" s="47">
        <v>-117</v>
      </c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52</v>
      </c>
      <c r="D16" s="47">
        <v>21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480</v>
      </c>
      <c r="D19" s="49">
        <f>SUM(D9:D15)+D16</f>
        <v>159</v>
      </c>
      <c r="E19" s="304" t="s">
        <v>316</v>
      </c>
      <c r="F19" s="552" t="s">
        <v>317</v>
      </c>
      <c r="G19" s="550">
        <v>9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35</v>
      </c>
      <c r="D22" s="46">
        <v>17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102</v>
      </c>
      <c r="F24" s="554" t="s">
        <v>333</v>
      </c>
      <c r="G24" s="548">
        <f>SUM(G19:G23)</f>
        <v>9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1</v>
      </c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36</v>
      </c>
      <c r="D26" s="49">
        <f>SUM(D22:D25)</f>
        <v>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516</v>
      </c>
      <c r="D28" s="50">
        <f>D26+D19</f>
        <v>177</v>
      </c>
      <c r="E28" s="127" t="s">
        <v>338</v>
      </c>
      <c r="F28" s="554" t="s">
        <v>339</v>
      </c>
      <c r="G28" s="548">
        <f>G13+G15+G24</f>
        <v>498</v>
      </c>
      <c r="H28" s="548">
        <f>H13+H15+H24</f>
        <v>110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18</v>
      </c>
      <c r="H30" s="53">
        <f>IF((D28-H28)&gt;0,D28-H28,0)</f>
        <v>67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516</v>
      </c>
      <c r="D33" s="49">
        <f>D28+D31+D32</f>
        <v>177</v>
      </c>
      <c r="E33" s="127" t="s">
        <v>352</v>
      </c>
      <c r="F33" s="554" t="s">
        <v>353</v>
      </c>
      <c r="G33" s="53">
        <f>G32+G31+G28</f>
        <v>498</v>
      </c>
      <c r="H33" s="53">
        <f>H32+H31+H28</f>
        <v>110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18</v>
      </c>
      <c r="H34" s="548">
        <f>IF((D33-H33)&gt;0,D33-H33,0)</f>
        <v>67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18</v>
      </c>
      <c r="H39" s="559">
        <f>IF(H34&gt;0,IF(D35+H34&lt;0,0,D35+H34),IF(D34-D35&lt;0,D35-D34,0))</f>
        <v>67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18</v>
      </c>
      <c r="H41" s="52">
        <f>IF(H39-H40&gt;0,H39-H40,0)</f>
        <v>67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516</v>
      </c>
      <c r="D42" s="53">
        <f>D33+D35+D39</f>
        <v>177</v>
      </c>
      <c r="E42" s="128" t="s">
        <v>379</v>
      </c>
      <c r="F42" s="129" t="s">
        <v>380</v>
      </c>
      <c r="G42" s="53">
        <f>G39+G33</f>
        <v>516</v>
      </c>
      <c r="H42" s="53">
        <f>H39+H33</f>
        <v>177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862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881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 t="s">
        <v>876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 t="s">
        <v>865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31" top="0.984251968503937" bottom="0.31" header="0.5118110236220472" footer="0.27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B16">
      <selection activeCell="D48" sqref="D48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"ОПТЕЛА ЛАЗЕРНИ ТЕХНОЛОГИИ" АД гр.ПЛОВДИВ</v>
      </c>
      <c r="C4" s="541" t="s">
        <v>2</v>
      </c>
      <c r="D4" s="541" t="str">
        <f>'справка №1-БАЛАНС'!H3</f>
        <v>825397012Ю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717</v>
      </c>
    </row>
    <row r="6" spans="1:6" ht="12" customHeight="1">
      <c r="A6" s="471" t="s">
        <v>4</v>
      </c>
      <c r="B6" s="506">
        <f>'справка №1-БАЛАНС'!E5</f>
        <v>39721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165</v>
      </c>
      <c r="D10" s="54">
        <v>181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-78</v>
      </c>
      <c r="D11" s="54">
        <v>-199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-45</v>
      </c>
      <c r="D13" s="54">
        <v>-37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-41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9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-1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-247</v>
      </c>
      <c r="D19" s="54">
        <v>46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-238</v>
      </c>
      <c r="D20" s="55">
        <f>SUM(D10:D19)</f>
        <v>-9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112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112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127</v>
      </c>
      <c r="D36" s="54"/>
      <c r="E36" s="130"/>
      <c r="F36" s="130"/>
    </row>
    <row r="37" spans="1:6" ht="12">
      <c r="A37" s="332" t="s">
        <v>437</v>
      </c>
      <c r="B37" s="333" t="s">
        <v>438</v>
      </c>
      <c r="C37" s="54">
        <v>-1</v>
      </c>
      <c r="D37" s="54"/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126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0</v>
      </c>
      <c r="D43" s="55">
        <f>D42+D32+D20</f>
        <v>-9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</v>
      </c>
      <c r="D44" s="132">
        <v>24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15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15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9"/>
      <c r="D50" s="589"/>
      <c r="G50" s="133"/>
      <c r="H50" s="133"/>
    </row>
    <row r="51" spans="1:8" ht="12">
      <c r="A51" s="318"/>
      <c r="B51" s="318" t="s">
        <v>875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9"/>
      <c r="D52" s="589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" right="0" top="0.7086614173228347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6">
      <selection activeCell="B38" sqref="B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"ОПТЕЛА ЛАЗЕРНИ ТЕХНОЛОГИИ" АД гр.ПЛОВДИВ</v>
      </c>
      <c r="C3" s="573"/>
      <c r="D3" s="573"/>
      <c r="E3" s="573"/>
      <c r="F3" s="573"/>
      <c r="G3" s="573"/>
      <c r="H3" s="573"/>
      <c r="I3" s="573"/>
      <c r="J3" s="476"/>
      <c r="K3" s="575" t="s">
        <v>2</v>
      </c>
      <c r="L3" s="575"/>
      <c r="M3" s="478" t="str">
        <f>'справка №1-БАЛАНС'!H3</f>
        <v>825397012Ю</v>
      </c>
      <c r="N3" s="2"/>
    </row>
    <row r="4" spans="1:15" s="532" customFormat="1" ht="13.5" customHeight="1">
      <c r="A4" s="467" t="s">
        <v>460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3</v>
      </c>
      <c r="L4" s="571"/>
      <c r="M4" s="478">
        <f>'справка №1-БАЛАНС'!H4</f>
        <v>717</v>
      </c>
      <c r="N4" s="3"/>
      <c r="O4" s="3"/>
    </row>
    <row r="5" spans="1:14" s="532" customFormat="1" ht="12.75" customHeight="1">
      <c r="A5" s="467" t="s">
        <v>4</v>
      </c>
      <c r="B5" s="591">
        <f>'справка №1-БАЛАНС'!E5</f>
        <v>39721</v>
      </c>
      <c r="C5" s="591"/>
      <c r="D5" s="591"/>
      <c r="E5" s="59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315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25</v>
      </c>
      <c r="G11" s="58">
        <f>'справка №1-БАЛАНС'!H23</f>
        <v>0</v>
      </c>
      <c r="H11" s="60">
        <v>3272</v>
      </c>
      <c r="I11" s="58">
        <f>'справка №1-БАЛАНС'!H28+'справка №1-БАЛАНС'!H31</f>
        <v>9129</v>
      </c>
      <c r="J11" s="58">
        <f>'справка №1-БАЛАНС'!H29+'справка №1-БАЛАНС'!H32</f>
        <v>-21</v>
      </c>
      <c r="K11" s="60"/>
      <c r="L11" s="344">
        <f>SUM(C11:K11)</f>
        <v>12720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>
        <v>0</v>
      </c>
      <c r="F13" s="60"/>
      <c r="G13" s="60"/>
      <c r="H13" s="60"/>
      <c r="I13" s="60">
        <v>0</v>
      </c>
      <c r="J13" s="60">
        <v>0</v>
      </c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315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25</v>
      </c>
      <c r="G15" s="61">
        <f t="shared" si="2"/>
        <v>0</v>
      </c>
      <c r="H15" s="61">
        <f t="shared" si="2"/>
        <v>3272</v>
      </c>
      <c r="I15" s="61">
        <f t="shared" si="2"/>
        <v>9129</v>
      </c>
      <c r="J15" s="61">
        <f t="shared" si="2"/>
        <v>-21</v>
      </c>
      <c r="K15" s="61">
        <f t="shared" si="2"/>
        <v>0</v>
      </c>
      <c r="L15" s="344">
        <f t="shared" si="1"/>
        <v>12720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</v>
      </c>
      <c r="K16" s="60"/>
      <c r="L16" s="344">
        <f t="shared" si="1"/>
        <v>-18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>
        <v>1</v>
      </c>
      <c r="G19" s="60"/>
      <c r="H19" s="60"/>
      <c r="I19" s="60"/>
      <c r="J19" s="60"/>
      <c r="K19" s="60"/>
      <c r="L19" s="344">
        <f t="shared" si="1"/>
        <v>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315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26</v>
      </c>
      <c r="G29" s="59">
        <f t="shared" si="6"/>
        <v>0</v>
      </c>
      <c r="H29" s="59">
        <f t="shared" si="6"/>
        <v>3272</v>
      </c>
      <c r="I29" s="59">
        <f t="shared" si="6"/>
        <v>9129</v>
      </c>
      <c r="J29" s="59">
        <f t="shared" si="6"/>
        <v>-39</v>
      </c>
      <c r="K29" s="59">
        <f t="shared" si="6"/>
        <v>0</v>
      </c>
      <c r="L29" s="344">
        <f t="shared" si="1"/>
        <v>12703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315</v>
      </c>
      <c r="D32" s="59">
        <f t="shared" si="7"/>
        <v>0</v>
      </c>
      <c r="E32" s="59">
        <f t="shared" si="7"/>
        <v>0</v>
      </c>
      <c r="F32" s="59">
        <f t="shared" si="7"/>
        <v>26</v>
      </c>
      <c r="G32" s="59">
        <f t="shared" si="7"/>
        <v>0</v>
      </c>
      <c r="H32" s="59">
        <f t="shared" si="7"/>
        <v>3272</v>
      </c>
      <c r="I32" s="59">
        <f t="shared" si="7"/>
        <v>9129</v>
      </c>
      <c r="J32" s="59">
        <f t="shared" si="7"/>
        <v>-39</v>
      </c>
      <c r="K32" s="59">
        <f t="shared" si="7"/>
        <v>0</v>
      </c>
      <c r="L32" s="344">
        <f t="shared" si="1"/>
        <v>12703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863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2" t="s">
        <v>521</v>
      </c>
      <c r="E38" s="572"/>
      <c r="F38" s="572"/>
      <c r="G38" s="572"/>
      <c r="H38" s="572"/>
      <c r="I38" s="572"/>
      <c r="J38" s="15" t="s">
        <v>858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G13">
      <selection activeCell="D16" sqref="D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2" t="s">
        <v>383</v>
      </c>
      <c r="B2" s="593"/>
      <c r="C2" s="594" t="str">
        <f>'справка №1-БАЛАНС'!E3</f>
        <v>"ОПТЕЛА ЛАЗЕРНИ ТЕХНОЛОГИИ" АД гр.ПЛОВДИВ</v>
      </c>
      <c r="D2" s="594"/>
      <c r="E2" s="594"/>
      <c r="F2" s="594"/>
      <c r="G2" s="594"/>
      <c r="H2" s="594"/>
      <c r="I2" s="483"/>
      <c r="J2" s="483"/>
      <c r="K2" s="483"/>
      <c r="L2" s="483"/>
      <c r="M2" s="484" t="s">
        <v>2</v>
      </c>
      <c r="N2" s="482"/>
      <c r="O2" s="482" t="str">
        <f>'справка №1-БАЛАНС'!H3</f>
        <v>825397012Ю</v>
      </c>
      <c r="P2" s="483"/>
      <c r="Q2" s="483"/>
      <c r="R2" s="526"/>
    </row>
    <row r="3" spans="1:18" ht="15">
      <c r="A3" s="592" t="s">
        <v>4</v>
      </c>
      <c r="B3" s="593"/>
      <c r="C3" s="595">
        <f>'справка №1-БАЛАНС'!E5</f>
        <v>39721</v>
      </c>
      <c r="D3" s="595"/>
      <c r="E3" s="595"/>
      <c r="F3" s="485"/>
      <c r="G3" s="485"/>
      <c r="H3" s="485"/>
      <c r="I3" s="485"/>
      <c r="J3" s="485"/>
      <c r="K3" s="485"/>
      <c r="L3" s="485"/>
      <c r="M3" s="596" t="s">
        <v>3</v>
      </c>
      <c r="N3" s="596"/>
      <c r="O3" s="482">
        <f>'справка №1-БАЛАНС'!H4</f>
        <v>717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597" t="s">
        <v>463</v>
      </c>
      <c r="B5" s="598"/>
      <c r="C5" s="60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0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6" t="s">
        <v>529</v>
      </c>
      <c r="R5" s="606" t="s">
        <v>530</v>
      </c>
    </row>
    <row r="6" spans="1:18" s="100" customFormat="1" ht="48">
      <c r="A6" s="599"/>
      <c r="B6" s="600"/>
      <c r="C6" s="60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7"/>
      <c r="R6" s="60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11</v>
      </c>
      <c r="E9" s="189"/>
      <c r="F9" s="189"/>
      <c r="G9" s="74">
        <f>D9+E9-F9</f>
        <v>11</v>
      </c>
      <c r="H9" s="65"/>
      <c r="I9" s="65"/>
      <c r="J9" s="74">
        <f>G9+H9-I9</f>
        <v>11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96</v>
      </c>
      <c r="E10" s="189"/>
      <c r="F10" s="189"/>
      <c r="G10" s="74">
        <f aca="true" t="shared" si="2" ref="G10:G39">D10+E10-F10</f>
        <v>96</v>
      </c>
      <c r="H10" s="65"/>
      <c r="I10" s="65"/>
      <c r="J10" s="74">
        <f aca="true" t="shared" si="3" ref="J10:J39">G10+H10-I10</f>
        <v>96</v>
      </c>
      <c r="K10" s="65">
        <v>61</v>
      </c>
      <c r="L10" s="65">
        <v>1</v>
      </c>
      <c r="M10" s="65"/>
      <c r="N10" s="74">
        <f aca="true" t="shared" si="4" ref="N10:N39">K10+L10-M10</f>
        <v>62</v>
      </c>
      <c r="O10" s="65"/>
      <c r="P10" s="65"/>
      <c r="Q10" s="74">
        <f t="shared" si="0"/>
        <v>62</v>
      </c>
      <c r="R10" s="74">
        <f t="shared" si="1"/>
        <v>34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1135</v>
      </c>
      <c r="E11" s="189">
        <v>2</v>
      </c>
      <c r="F11" s="189">
        <v>102</v>
      </c>
      <c r="G11" s="74">
        <f t="shared" si="2"/>
        <v>1035</v>
      </c>
      <c r="H11" s="65"/>
      <c r="I11" s="65"/>
      <c r="J11" s="74">
        <f t="shared" si="3"/>
        <v>1035</v>
      </c>
      <c r="K11" s="65">
        <v>990</v>
      </c>
      <c r="L11" s="65">
        <v>11</v>
      </c>
      <c r="M11" s="65">
        <v>101</v>
      </c>
      <c r="N11" s="74">
        <f t="shared" si="4"/>
        <v>900</v>
      </c>
      <c r="O11" s="65"/>
      <c r="P11" s="65"/>
      <c r="Q11" s="74">
        <f t="shared" si="0"/>
        <v>900</v>
      </c>
      <c r="R11" s="74">
        <f t="shared" si="1"/>
        <v>135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49</v>
      </c>
      <c r="E13" s="189"/>
      <c r="F13" s="189">
        <v>4</v>
      </c>
      <c r="G13" s="74">
        <f t="shared" si="2"/>
        <v>45</v>
      </c>
      <c r="H13" s="65"/>
      <c r="I13" s="65"/>
      <c r="J13" s="74">
        <f t="shared" si="3"/>
        <v>45</v>
      </c>
      <c r="K13" s="65">
        <v>47</v>
      </c>
      <c r="L13" s="65">
        <v>1</v>
      </c>
      <c r="M13" s="65">
        <v>4</v>
      </c>
      <c r="N13" s="74">
        <f t="shared" si="4"/>
        <v>44</v>
      </c>
      <c r="O13" s="65"/>
      <c r="P13" s="65"/>
      <c r="Q13" s="74">
        <f t="shared" si="0"/>
        <v>44</v>
      </c>
      <c r="R13" s="74">
        <f t="shared" si="1"/>
        <v>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98</v>
      </c>
      <c r="E14" s="189"/>
      <c r="F14" s="189">
        <v>24</v>
      </c>
      <c r="G14" s="74">
        <f t="shared" si="2"/>
        <v>74</v>
      </c>
      <c r="H14" s="65"/>
      <c r="I14" s="65"/>
      <c r="J14" s="74">
        <f t="shared" si="3"/>
        <v>74</v>
      </c>
      <c r="K14" s="65">
        <v>73</v>
      </c>
      <c r="L14" s="65">
        <v>4</v>
      </c>
      <c r="M14" s="65">
        <v>24</v>
      </c>
      <c r="N14" s="74">
        <f t="shared" si="4"/>
        <v>53</v>
      </c>
      <c r="O14" s="65"/>
      <c r="P14" s="65"/>
      <c r="Q14" s="74">
        <f t="shared" si="0"/>
        <v>53</v>
      </c>
      <c r="R14" s="74">
        <f t="shared" si="1"/>
        <v>21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168</v>
      </c>
      <c r="E15" s="457">
        <v>12</v>
      </c>
      <c r="F15" s="457"/>
      <c r="G15" s="74">
        <f t="shared" si="2"/>
        <v>180</v>
      </c>
      <c r="H15" s="458"/>
      <c r="I15" s="458"/>
      <c r="J15" s="74">
        <f t="shared" si="3"/>
        <v>180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180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>
        <v>75</v>
      </c>
      <c r="E16" s="189"/>
      <c r="F16" s="189"/>
      <c r="G16" s="74">
        <f t="shared" si="2"/>
        <v>75</v>
      </c>
      <c r="H16" s="65"/>
      <c r="I16" s="65"/>
      <c r="J16" s="74">
        <f t="shared" si="3"/>
        <v>75</v>
      </c>
      <c r="K16" s="65">
        <v>63</v>
      </c>
      <c r="L16" s="65">
        <v>3</v>
      </c>
      <c r="M16" s="65"/>
      <c r="N16" s="74">
        <f t="shared" si="4"/>
        <v>66</v>
      </c>
      <c r="O16" s="65"/>
      <c r="P16" s="65"/>
      <c r="Q16" s="74">
        <f aca="true" t="shared" si="5" ref="Q16:Q25">N16+O16-P16</f>
        <v>66</v>
      </c>
      <c r="R16" s="74">
        <f aca="true" t="shared" si="6" ref="R16:R25">J16-Q16</f>
        <v>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1632</v>
      </c>
      <c r="E17" s="194">
        <f>SUM(E9:E16)</f>
        <v>14</v>
      </c>
      <c r="F17" s="194">
        <f>SUM(F9:F16)</f>
        <v>130</v>
      </c>
      <c r="G17" s="74">
        <f t="shared" si="2"/>
        <v>1516</v>
      </c>
      <c r="H17" s="75">
        <f>SUM(H9:H16)</f>
        <v>0</v>
      </c>
      <c r="I17" s="75">
        <f>SUM(I9:I16)</f>
        <v>0</v>
      </c>
      <c r="J17" s="74">
        <f t="shared" si="3"/>
        <v>1516</v>
      </c>
      <c r="K17" s="75">
        <f>SUM(K9:K16)</f>
        <v>1234</v>
      </c>
      <c r="L17" s="75">
        <f>SUM(L9:L16)</f>
        <v>20</v>
      </c>
      <c r="M17" s="75">
        <f>SUM(M9:M16)</f>
        <v>129</v>
      </c>
      <c r="N17" s="74">
        <f t="shared" si="4"/>
        <v>1125</v>
      </c>
      <c r="O17" s="75">
        <f>SUM(O9:O16)</f>
        <v>0</v>
      </c>
      <c r="P17" s="75">
        <f>SUM(P9:P16)</f>
        <v>0</v>
      </c>
      <c r="Q17" s="74">
        <f t="shared" si="5"/>
        <v>1125</v>
      </c>
      <c r="R17" s="74">
        <f t="shared" si="6"/>
        <v>391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12557</v>
      </c>
      <c r="E18" s="187"/>
      <c r="F18" s="187"/>
      <c r="G18" s="74">
        <f t="shared" si="2"/>
        <v>12557</v>
      </c>
      <c r="H18" s="63"/>
      <c r="I18" s="63"/>
      <c r="J18" s="74">
        <f t="shared" si="3"/>
        <v>12557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12557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61</v>
      </c>
      <c r="E21" s="189">
        <v>1</v>
      </c>
      <c r="F21" s="189"/>
      <c r="G21" s="74">
        <f t="shared" si="2"/>
        <v>62</v>
      </c>
      <c r="H21" s="65"/>
      <c r="I21" s="65"/>
      <c r="J21" s="74">
        <f t="shared" si="3"/>
        <v>62</v>
      </c>
      <c r="K21" s="65">
        <v>61</v>
      </c>
      <c r="L21" s="65"/>
      <c r="M21" s="65"/>
      <c r="N21" s="74">
        <f t="shared" si="4"/>
        <v>61</v>
      </c>
      <c r="O21" s="65"/>
      <c r="P21" s="65"/>
      <c r="Q21" s="74">
        <f t="shared" si="5"/>
        <v>61</v>
      </c>
      <c r="R21" s="74">
        <f t="shared" si="6"/>
        <v>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76</v>
      </c>
      <c r="E25" s="190">
        <f aca="true" t="shared" si="7" ref="E25:P25">SUM(E21:E24)</f>
        <v>1</v>
      </c>
      <c r="F25" s="190">
        <f t="shared" si="7"/>
        <v>0</v>
      </c>
      <c r="G25" s="67">
        <f t="shared" si="2"/>
        <v>77</v>
      </c>
      <c r="H25" s="66">
        <f t="shared" si="7"/>
        <v>0</v>
      </c>
      <c r="I25" s="66">
        <f t="shared" si="7"/>
        <v>0</v>
      </c>
      <c r="J25" s="67">
        <f t="shared" si="3"/>
        <v>77</v>
      </c>
      <c r="K25" s="66">
        <f t="shared" si="7"/>
        <v>76</v>
      </c>
      <c r="L25" s="66">
        <f t="shared" si="7"/>
        <v>0</v>
      </c>
      <c r="M25" s="66">
        <f t="shared" si="7"/>
        <v>0</v>
      </c>
      <c r="N25" s="67">
        <f t="shared" si="4"/>
        <v>76</v>
      </c>
      <c r="O25" s="66">
        <f t="shared" si="7"/>
        <v>0</v>
      </c>
      <c r="P25" s="66">
        <f t="shared" si="7"/>
        <v>0</v>
      </c>
      <c r="Q25" s="67">
        <f t="shared" si="5"/>
        <v>76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108</v>
      </c>
      <c r="E27" s="192">
        <f aca="true" t="shared" si="8" ref="E27:P27">SUM(E28:E31)</f>
        <v>57</v>
      </c>
      <c r="F27" s="192">
        <f t="shared" si="8"/>
        <v>0</v>
      </c>
      <c r="G27" s="71">
        <f t="shared" si="2"/>
        <v>165</v>
      </c>
      <c r="H27" s="70">
        <f t="shared" si="8"/>
        <v>0</v>
      </c>
      <c r="I27" s="70">
        <f t="shared" si="8"/>
        <v>0</v>
      </c>
      <c r="J27" s="71">
        <f t="shared" si="3"/>
        <v>165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70</v>
      </c>
      <c r="E28" s="189">
        <v>57</v>
      </c>
      <c r="F28" s="189"/>
      <c r="G28" s="74">
        <f t="shared" si="2"/>
        <v>127</v>
      </c>
      <c r="H28" s="65"/>
      <c r="I28" s="65"/>
      <c r="J28" s="74">
        <f t="shared" si="3"/>
        <v>127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127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>
        <v>38</v>
      </c>
      <c r="E29" s="189"/>
      <c r="F29" s="189"/>
      <c r="G29" s="74">
        <f t="shared" si="2"/>
        <v>38</v>
      </c>
      <c r="H29" s="72"/>
      <c r="I29" s="72"/>
      <c r="J29" s="74">
        <f t="shared" si="3"/>
        <v>38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38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>
        <v>2</v>
      </c>
      <c r="E37" s="189"/>
      <c r="F37" s="189"/>
      <c r="G37" s="74">
        <f t="shared" si="2"/>
        <v>2</v>
      </c>
      <c r="H37" s="72"/>
      <c r="I37" s="72"/>
      <c r="J37" s="74">
        <f t="shared" si="3"/>
        <v>2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2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110</v>
      </c>
      <c r="E38" s="194">
        <f aca="true" t="shared" si="12" ref="E38:P38">E27+E32+E37</f>
        <v>57</v>
      </c>
      <c r="F38" s="194">
        <f t="shared" si="12"/>
        <v>0</v>
      </c>
      <c r="G38" s="74">
        <f t="shared" si="2"/>
        <v>167</v>
      </c>
      <c r="H38" s="75">
        <f t="shared" si="12"/>
        <v>0</v>
      </c>
      <c r="I38" s="75">
        <f t="shared" si="12"/>
        <v>0</v>
      </c>
      <c r="J38" s="74">
        <f t="shared" si="3"/>
        <v>167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167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14375</v>
      </c>
      <c r="E40" s="438">
        <f>E17+E18+E19+E25+E38+E39</f>
        <v>72</v>
      </c>
      <c r="F40" s="438">
        <f aca="true" t="shared" si="13" ref="F40:R40">F17+F18+F19+F25+F38+F39</f>
        <v>130</v>
      </c>
      <c r="G40" s="438">
        <f t="shared" si="13"/>
        <v>14317</v>
      </c>
      <c r="H40" s="438">
        <f t="shared" si="13"/>
        <v>0</v>
      </c>
      <c r="I40" s="438">
        <f t="shared" si="13"/>
        <v>0</v>
      </c>
      <c r="J40" s="438">
        <f t="shared" si="13"/>
        <v>14317</v>
      </c>
      <c r="K40" s="438">
        <f t="shared" si="13"/>
        <v>1310</v>
      </c>
      <c r="L40" s="438">
        <f t="shared" si="13"/>
        <v>20</v>
      </c>
      <c r="M40" s="438">
        <f t="shared" si="13"/>
        <v>129</v>
      </c>
      <c r="N40" s="438">
        <f t="shared" si="13"/>
        <v>1201</v>
      </c>
      <c r="O40" s="438">
        <f t="shared" si="13"/>
        <v>0</v>
      </c>
      <c r="P40" s="438">
        <f t="shared" si="13"/>
        <v>0</v>
      </c>
      <c r="Q40" s="438">
        <f t="shared" si="13"/>
        <v>1201</v>
      </c>
      <c r="R40" s="438">
        <f t="shared" si="13"/>
        <v>13116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877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3"/>
      <c r="L44" s="603"/>
      <c r="M44" s="603"/>
      <c r="N44" s="603"/>
      <c r="O44" s="604" t="s">
        <v>781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1" t="s">
        <v>609</v>
      </c>
      <c r="B1" s="611"/>
      <c r="C1" s="611"/>
      <c r="D1" s="611"/>
      <c r="E1" s="61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4" t="str">
        <f>'справка №1-БАЛАНС'!E3</f>
        <v>"ОПТЕЛА ЛАЗЕРНИ ТЕХНОЛОГИИ" АД гр.ПЛОВДИВ</v>
      </c>
      <c r="C3" s="615"/>
      <c r="D3" s="526" t="s">
        <v>2</v>
      </c>
      <c r="E3" s="107" t="str">
        <f>'справка №1-БАЛАНС'!H3</f>
        <v>825397012Ю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2">
        <f>'справка №1-БАЛАНС'!E5</f>
        <v>39721</v>
      </c>
      <c r="C4" s="613"/>
      <c r="D4" s="527" t="s">
        <v>3</v>
      </c>
      <c r="E4" s="107">
        <f>'справка №1-БАЛАНС'!H4</f>
        <v>717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2</v>
      </c>
      <c r="D16" s="119">
        <f>+D17+D18</f>
        <v>0</v>
      </c>
      <c r="E16" s="120">
        <f t="shared" si="0"/>
        <v>2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2</v>
      </c>
      <c r="D19" s="104">
        <f>D11+D15+D16</f>
        <v>0</v>
      </c>
      <c r="E19" s="118">
        <f>E11+E15+E16</f>
        <v>2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452</v>
      </c>
      <c r="D24" s="119">
        <f>SUM(D25:D27)</f>
        <v>351</v>
      </c>
      <c r="E24" s="120">
        <f>SUM(E25:E27)</f>
        <v>101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>
        <v>101</v>
      </c>
      <c r="D25" s="108"/>
      <c r="E25" s="120">
        <f t="shared" si="0"/>
        <v>101</v>
      </c>
      <c r="F25" s="106"/>
    </row>
    <row r="26" spans="1:6" ht="12">
      <c r="A26" s="396" t="s">
        <v>644</v>
      </c>
      <c r="B26" s="397" t="s">
        <v>645</v>
      </c>
      <c r="C26" s="108">
        <v>351</v>
      </c>
      <c r="D26" s="108">
        <v>351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87</v>
      </c>
      <c r="D28" s="108">
        <v>87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73</v>
      </c>
      <c r="D29" s="108">
        <v>73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>
        <v>5</v>
      </c>
      <c r="D30" s="108">
        <v>5</v>
      </c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232</v>
      </c>
      <c r="D38" s="105">
        <f>SUM(D39:D42)</f>
        <v>232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232</v>
      </c>
      <c r="D42" s="108">
        <v>232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849</v>
      </c>
      <c r="D43" s="104">
        <f>D24+D28+D29+D31+D30+D32+D33+D38</f>
        <v>748</v>
      </c>
      <c r="E43" s="118">
        <f>E24+E28+E29+E31+E30+E32+E33+E38</f>
        <v>101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851</v>
      </c>
      <c r="D44" s="103">
        <f>D43+D21+D19+D9</f>
        <v>748</v>
      </c>
      <c r="E44" s="118">
        <f>E43+E21+E19+E9</f>
        <v>103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234</v>
      </c>
      <c r="D52" s="103">
        <f>SUM(D53:D55)</f>
        <v>0</v>
      </c>
      <c r="E52" s="119">
        <f>C52-D52</f>
        <v>234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>
        <v>234</v>
      </c>
      <c r="D53" s="108"/>
      <c r="E53" s="119">
        <f>C53-D53</f>
        <v>234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234</v>
      </c>
      <c r="D66" s="103">
        <f>D52+D56+D61+D62+D63+D64</f>
        <v>0</v>
      </c>
      <c r="E66" s="119">
        <f t="shared" si="1"/>
        <v>234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1014</v>
      </c>
      <c r="D68" s="108"/>
      <c r="E68" s="119">
        <f t="shared" si="1"/>
        <v>1014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289</v>
      </c>
      <c r="D71" s="105">
        <f>SUM(D72:D74)</f>
        <v>289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289</v>
      </c>
      <c r="D74" s="108">
        <v>289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1127</v>
      </c>
      <c r="D85" s="104">
        <f>SUM(D86:D90)+D94</f>
        <v>1127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>
        <v>82</v>
      </c>
      <c r="D86" s="108">
        <v>82</v>
      </c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131</v>
      </c>
      <c r="D87" s="108">
        <v>131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321</v>
      </c>
      <c r="D88" s="108">
        <v>321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380</v>
      </c>
      <c r="D89" s="108">
        <v>380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68</v>
      </c>
      <c r="D90" s="103">
        <f>SUM(D91:D93)</f>
        <v>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68</v>
      </c>
      <c r="D93" s="108">
        <v>68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v>145</v>
      </c>
      <c r="D94" s="108">
        <v>145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251</v>
      </c>
      <c r="D95" s="108">
        <v>251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1667</v>
      </c>
      <c r="D96" s="104">
        <f>D85+D80+D75+D71+D95</f>
        <v>1667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2915</v>
      </c>
      <c r="D97" s="104">
        <f>D96+D68+D66</f>
        <v>1667</v>
      </c>
      <c r="E97" s="104">
        <f>E96+E68+E66</f>
        <v>1248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0" t="s">
        <v>780</v>
      </c>
      <c r="B107" s="610"/>
      <c r="C107" s="610"/>
      <c r="D107" s="610"/>
      <c r="E107" s="610"/>
      <c r="F107" s="61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9" t="s">
        <v>879</v>
      </c>
      <c r="B109" s="609"/>
      <c r="C109" s="609" t="s">
        <v>381</v>
      </c>
      <c r="D109" s="609"/>
      <c r="E109" s="609"/>
      <c r="F109" s="60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8" t="s">
        <v>781</v>
      </c>
      <c r="D111" s="608"/>
      <c r="E111" s="608"/>
      <c r="F111" s="60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C26" sqref="C26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6" t="str">
        <f>'справка №1-БАЛАНС'!E3</f>
        <v>"ОПТЕЛА ЛАЗЕРНИ ТЕХНОЛОГИИ" АД гр.ПЛОВДИВ</v>
      </c>
      <c r="C4" s="616"/>
      <c r="D4" s="616"/>
      <c r="E4" s="616"/>
      <c r="F4" s="616"/>
      <c r="G4" s="622" t="s">
        <v>2</v>
      </c>
      <c r="H4" s="622"/>
      <c r="I4" s="500" t="str">
        <f>'справка №1-БАЛАНС'!H3</f>
        <v>825397012Ю</v>
      </c>
    </row>
    <row r="5" spans="1:9" ht="15">
      <c r="A5" s="501" t="s">
        <v>4</v>
      </c>
      <c r="B5" s="617">
        <f>'справка №1-БАЛАНС'!E5</f>
        <v>39721</v>
      </c>
      <c r="C5" s="617"/>
      <c r="D5" s="617"/>
      <c r="E5" s="617"/>
      <c r="F5" s="617"/>
      <c r="G5" s="620" t="s">
        <v>3</v>
      </c>
      <c r="H5" s="621"/>
      <c r="I5" s="500">
        <f>'справка №1-БАЛАНС'!H4</f>
        <v>717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29</v>
      </c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29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879</v>
      </c>
      <c r="B30" s="619"/>
      <c r="C30" s="619"/>
      <c r="D30" s="459" t="s">
        <v>819</v>
      </c>
      <c r="E30" s="618"/>
      <c r="F30" s="618"/>
      <c r="G30" s="618"/>
      <c r="H30" s="420" t="s">
        <v>781</v>
      </c>
      <c r="I30" s="618"/>
      <c r="J30" s="618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45">
      <selection activeCell="D161" sqref="D16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3" t="str">
        <f>'справка №1-БАЛАНС'!E3</f>
        <v>"ОПТЕЛА ЛАЗЕРНИ ТЕХНОЛОГИИ" АД гр.ПЛОВДИВ</v>
      </c>
      <c r="C5" s="623"/>
      <c r="D5" s="623"/>
      <c r="E5" s="570" t="s">
        <v>2</v>
      </c>
      <c r="F5" s="451" t="str">
        <f>'справка №1-БАЛАНС'!H3</f>
        <v>825397012Ю</v>
      </c>
    </row>
    <row r="6" spans="1:13" ht="15" customHeight="1">
      <c r="A6" s="27" t="s">
        <v>822</v>
      </c>
      <c r="B6" s="624">
        <f>'справка №1-БАЛАНС'!E5</f>
        <v>39721</v>
      </c>
      <c r="C6" s="624"/>
      <c r="D6" s="510"/>
      <c r="E6" s="569" t="s">
        <v>3</v>
      </c>
      <c r="F6" s="511">
        <f>'справка №1-БАЛАНС'!H4</f>
        <v>717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70</v>
      </c>
      <c r="D12" s="441">
        <v>100</v>
      </c>
      <c r="E12" s="441"/>
      <c r="F12" s="443">
        <f>C12-E12</f>
        <v>70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>
        <v>3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70</v>
      </c>
      <c r="D27" s="429"/>
      <c r="E27" s="429">
        <f>SUM(E12:E26)</f>
        <v>0</v>
      </c>
      <c r="F27" s="442">
        <f>SUM(F12:F26)</f>
        <v>70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870</v>
      </c>
      <c r="B46" s="40"/>
      <c r="C46" s="441">
        <v>21</v>
      </c>
      <c r="D46" s="441">
        <v>41.4</v>
      </c>
      <c r="E46" s="441"/>
      <c r="F46" s="443">
        <f>C46-E46</f>
        <v>21</v>
      </c>
    </row>
    <row r="47" spans="1:6" ht="12.75">
      <c r="A47" s="36" t="s">
        <v>871</v>
      </c>
      <c r="B47" s="40"/>
      <c r="C47" s="441">
        <v>2</v>
      </c>
      <c r="D47" s="441"/>
      <c r="E47" s="441"/>
      <c r="F47" s="443">
        <f aca="true" t="shared" si="2" ref="F47:F60">C47-E47</f>
        <v>2</v>
      </c>
    </row>
    <row r="48" spans="1:6" ht="12.75">
      <c r="A48" s="36" t="s">
        <v>872</v>
      </c>
      <c r="B48" s="40"/>
      <c r="C48" s="441">
        <v>1</v>
      </c>
      <c r="D48" s="441"/>
      <c r="E48" s="441"/>
      <c r="F48" s="443">
        <f t="shared" si="2"/>
        <v>1</v>
      </c>
    </row>
    <row r="49" spans="1:6" ht="12.75">
      <c r="A49" s="36" t="s">
        <v>874</v>
      </c>
      <c r="B49" s="40"/>
      <c r="C49" s="441">
        <v>14</v>
      </c>
      <c r="D49" s="441">
        <v>1</v>
      </c>
      <c r="E49" s="441"/>
      <c r="F49" s="443">
        <f t="shared" si="2"/>
        <v>14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38</v>
      </c>
      <c r="D61" s="429"/>
      <c r="E61" s="429">
        <f>SUM(E46:E60)</f>
        <v>0</v>
      </c>
      <c r="F61" s="442">
        <f>SUM(F46:F60)</f>
        <v>38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2</v>
      </c>
      <c r="D78" s="429"/>
      <c r="E78" s="429">
        <f>SUM(E63:E77)</f>
        <v>0</v>
      </c>
      <c r="F78" s="442">
        <f>SUM(F63:F77)</f>
        <v>2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110</v>
      </c>
      <c r="D79" s="429"/>
      <c r="E79" s="429">
        <f>E78+E61+E44+E27</f>
        <v>0</v>
      </c>
      <c r="F79" s="442">
        <f>F78+F61+F44+F27</f>
        <v>110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877</v>
      </c>
      <c r="B151" s="453"/>
      <c r="C151" s="625" t="s">
        <v>849</v>
      </c>
      <c r="D151" s="625"/>
      <c r="E151" s="625"/>
      <c r="F151" s="625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5" t="s">
        <v>857</v>
      </c>
      <c r="D153" s="625"/>
      <c r="E153" s="625"/>
      <c r="F153" s="625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soopt4</cp:lastModifiedBy>
  <cp:lastPrinted>2008-10-23T11:48:11Z</cp:lastPrinted>
  <dcterms:created xsi:type="dcterms:W3CDTF">2000-06-29T12:02:40Z</dcterms:created>
  <dcterms:modified xsi:type="dcterms:W3CDTF">2008-10-27T11:54:58Z</dcterms:modified>
  <cp:category/>
  <cp:version/>
  <cp:contentType/>
  <cp:contentStatus/>
</cp:coreProperties>
</file>