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<sst xmlns="http://schemas.openxmlformats.org/spreadsheetml/2006/main" count="4299" uniqueCount="1005">
  <si>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</si>
  <si>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</si>
  <si>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</si>
  <si>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</si>
  <si>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</si>
  <si>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</si>
  <si>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</si>
  <si>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</si>
  <si>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</si>
  <si>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</si>
  <si>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</si>
  <si>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</si>
  <si>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</si>
  <si>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</si>
  <si>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</si>
  <si>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</si>
  <si>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</si>
  <si>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</si>
  <si>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</si>
  <si>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</si>
  <si>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</si>
  <si>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</si>
  <si>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</si>
  <si>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</si>
  <si>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</si>
  <si>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</si>
  <si>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</si>
  <si>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</si>
  <si>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</si>
  <si>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</si>
  <si>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</si>
  <si>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</si>
  <si>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</si>
  <si>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</si>
  <si>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</si>
  <si>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</si>
  <si>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</si>
  <si>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</si>
  <si>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</si>
  <si>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</si>
  <si>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</si>
  <si>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</si>
  <si>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</si>
  <si>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</si>
  <si>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</si>
  <si>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</si>
  <si>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</si>
  <si>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</si>
  <si>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</si>
  <si>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</si>
  <si>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</si>
  <si>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</si>
  <si>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</si>
  <si>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</si>
  <si>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</si>
  <si>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</si>
  <si>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</si>
  <si>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</si>
  <si>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</si>
  <si>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</si>
  <si>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</si>
  <si>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</si>
  <si>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</si>
  <si>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</si>
  <si>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</si>
  <si>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</si>
  <si>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</si>
  <si>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</si>
  <si>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</si>
  <si>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</si>
  <si>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</si>
  <si>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</si>
  <si>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</si>
  <si>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</si>
  <si>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</si>
  <si>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</si>
  <si>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</si>
  <si>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</si>
  <si>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</si>
  <si>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</si>
  <si>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</si>
  <si>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</si>
  <si>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</si>
  <si>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</si>
  <si>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</si>
  <si>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</si>
  <si>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</si>
  <si>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</si>
  <si>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</si>
  <si>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</si>
  <si>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</si>
  <si>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</si>
  <si>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</si>
  <si>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</si>
  <si>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</si>
  <si>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</si>
  <si>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</si>
  <si>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</si>
  <si>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</si>
  <si>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</si>
  <si>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</si>
  <si>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</si>
  <si>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</si>
  <si>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</si>
  <si>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</si>
  <si>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</si>
  <si>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</si>
  <si>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</si>
  <si>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</si>
  <si>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</si>
  <si>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</si>
  <si>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</si>
  <si>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</si>
  <si>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</si>
  <si>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</si>
  <si>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</si>
  <si>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</si>
  <si>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</si>
  <si>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</si>
  <si>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</si>
  <si>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</si>
  <si>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</si>
  <si>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</si>
  <si>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</si>
  <si>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</si>
  <si>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</si>
  <si>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</si>
  <si>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</si>
  <si>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</si>
  <si>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</si>
  <si>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</si>
  <si>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</si>
  <si>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</si>
  <si>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</si>
  <si>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</si>
  <si>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</si>
  <si>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</si>
  <si>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</si>
  <si>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</si>
  <si>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</si>
  <si>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</si>
  <si>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</si>
  <si>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</si>
  <si>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</si>
  <si>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</si>
  <si>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</si>
  <si>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</si>
  <si>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</si>
  <si>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</si>
  <si>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</si>
  <si>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</si>
  <si>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</si>
  <si>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</si>
  <si>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</si>
  <si>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</si>
  <si>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</si>
  <si>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</si>
  <si>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</si>
  <si>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</si>
  <si>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</si>
  <si>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</si>
  <si>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</si>
  <si>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</si>
  <si>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</si>
  <si>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</si>
  <si>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</si>
  <si>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</si>
  <si>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</si>
  <si>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</si>
  <si>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</si>
  <si>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</si>
  <si>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</si>
  <si>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</si>
  <si>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</si>
  <si>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</si>
  <si>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</si>
  <si>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</si>
  <si>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</si>
  <si>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</si>
  <si>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</si>
  <si>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</si>
  <si>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</si>
  <si>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</si>
  <si>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</si>
  <si>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</si>
  <si>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</si>
  <si>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</si>
  <si>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</si>
  <si>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</si>
  <si>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</si>
  <si>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</si>
  <si>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</si>
  <si>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</si>
  <si>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</si>
  <si>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</si>
  <si>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</si>
  <si>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</si>
  <si>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</si>
  <si>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</si>
  <si>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</si>
  <si>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</si>
  <si>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</si>
  <si>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</si>
  <si>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</si>
  <si>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</si>
  <si>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</si>
  <si>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</si>
  <si>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</si>
  <si>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</si>
  <si>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</si>
  <si>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</si>
  <si>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</si>
  <si>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</si>
  <si>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</si>
  <si>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</si>
  <si>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</si>
  <si>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</si>
  <si>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</si>
  <si>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</si>
  <si>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</si>
  <si>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</si>
  <si>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</si>
  <si>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</si>
  <si>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</si>
  <si>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</si>
  <si>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</si>
  <si>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</si>
  <si>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</si>
  <si>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</si>
  <si>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</si>
  <si>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</si>
  <si>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</si>
  <si>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</si>
  <si>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</si>
  <si>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</si>
  <si>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</si>
  <si>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</si>
  <si>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</si>
  <si>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</si>
  <si>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</si>
  <si>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</si>
  <si>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</si>
  <si>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</si>
  <si>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</si>
  <si>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</si>
  <si>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</si>
  <si>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</si>
  <si>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</si>
  <si>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</si>
  <si>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</si>
  <si>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</si>
  <si>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</si>
  <si>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</si>
  <si>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</si>
  <si>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</si>
  <si>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</si>
  <si>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</si>
  <si>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</si>
  <si>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</si>
  <si>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</si>
  <si>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</si>
  <si>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</si>
  <si>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</si>
  <si>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</si>
  <si>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</si>
  <si>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</si>
  <si>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</si>
  <si>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</si>
  <si>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</si>
  <si>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</si>
  <si>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</si>
  <si>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</si>
  <si>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</si>
  <si>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</si>
  <si>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</si>
  <si>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</si>
  <si>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</si>
  <si>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</si>
  <si>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</si>
  <si>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</si>
  <si>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</si>
  <si>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</si>
  <si>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</si>
  <si>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</si>
  <si>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</si>
  <si>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</si>
  <si>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</si>
  <si>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</si>
  <si>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</si>
  <si>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</si>
  <si>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</si>
  <si>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</si>
  <si>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</si>
  <si>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</si>
  <si>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</si>
  <si>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</si>
  <si>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</si>
  <si>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</si>
  <si>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</si>
  <si>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</si>
  <si>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</si>
  <si>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</si>
  <si>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</si>
  <si>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</si>
  <si>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</si>
  <si>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</si>
  <si>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</si>
  <si>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</si>
  <si>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</si>
  <si>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</si>
  <si>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</si>
  <si>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</si>
  <si>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</si>
  <si>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</si>
  <si>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</si>
  <si>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</si>
  <si>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</si>
  <si>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</si>
  <si>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</si>
  <si>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</si>
  <si>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</si>
  <si>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</si>
  <si>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</si>
  <si>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</si>
  <si>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</si>
  <si>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</si>
  <si>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</si>
  <si>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</si>
  <si>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</si>
  <si>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</si>
  <si>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</si>
  <si>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</si>
  <si>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</si>
  <si>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</si>
  <si>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</si>
  <si>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</si>
  <si>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</si>
  <si>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</si>
  <si>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</si>
  <si>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</si>
  <si>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</si>
  <si>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</si>
  <si>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</si>
  <si>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</si>
  <si>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</si>
  <si>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</si>
  <si>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</si>
  <si>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</si>
  <si>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</si>
  <si>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</si>
  <si>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</si>
  <si>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</si>
  <si>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</si>
  <si>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</si>
  <si>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</si>
  <si>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</si>
  <si>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</si>
  <si>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</si>
  <si>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</si>
  <si>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</si>
  <si>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</si>
  <si>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</si>
  <si>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</si>
  <si>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</si>
  <si>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</si>
  <si>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</si>
  <si>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</si>
  <si>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</si>
  <si>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</si>
  <si>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</si>
  <si>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</si>
  <si>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</si>
  <si>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</si>
  <si>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</si>
  <si>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</si>
  <si>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</si>
  <si>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</si>
  <si>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</si>
  <si>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</si>
  <si>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</si>
  <si>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</si>
  <si>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</si>
  <si>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</si>
  <si>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</si>
  <si>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</si>
  <si>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</si>
  <si>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</si>
  <si>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</si>
  <si>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</si>
  <si>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</si>
  <si>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</si>
  <si>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</si>
  <si>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</si>
  <si>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</si>
  <si>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</si>
  <si>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</si>
  <si>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</si>
  <si>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</si>
  <si>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</si>
  <si>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</si>
  <si>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</si>
  <si>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</si>
  <si>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</si>
  <si>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</si>
  <si>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</si>
  <si>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</si>
  <si>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</si>
  <si>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</si>
  <si>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</si>
  <si>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</si>
  <si>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</si>
  <si>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</si>
  <si>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</si>
  <si>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</si>
  <si>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</si>
  <si>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</si>
  <si>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</si>
  <si>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</si>
  <si>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</si>
  <si>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</si>
  <si>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</si>
  <si>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</si>
  <si>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</si>
  <si>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</si>
  <si>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</si>
  <si>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</si>
  <si>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</si>
  <si>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</si>
  <si>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</si>
  <si>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</si>
  <si>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</si>
  <si>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</si>
  <si>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</si>
  <si>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</si>
  <si>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</si>
  <si>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</si>
  <si>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</si>
  <si>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</si>
  <si>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</si>
  <si>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</si>
  <si>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</si>
  <si>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</si>
  <si>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</si>
  <si>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</si>
  <si>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</si>
  <si>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</si>
  <si>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</si>
  <si>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</si>
  <si>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</si>
  <si>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</si>
  <si>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</si>
  <si>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</si>
  <si>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</si>
  <si>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</si>
  <si>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</si>
  <si>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</si>
  <si>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</si>
  <si>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</si>
  <si>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</si>
  <si>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</si>
  <si>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</si>
  <si>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</si>
  <si>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</si>
  <si>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</si>
  <si>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</si>
  <si>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</si>
  <si>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</si>
  <si>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</si>
  <si>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</si>
  <si>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</si>
  <si>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</si>
  <si>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</si>
  <si>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</si>
  <si>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</si>
  <si>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</si>
  <si>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</si>
  <si>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</si>
  <si>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</si>
  <si>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</si>
  <si>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</si>
  <si>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</si>
  <si>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</si>
  <si>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</si>
  <si>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</si>
  <si>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</si>
  <si>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</si>
  <si>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</si>
  <si>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</si>
  <si>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</si>
  <si>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</si>
  <si>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</si>
  <si>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</si>
  <si>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</si>
  <si>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</si>
  <si>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</si>
  <si>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</si>
  <si>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</si>
  <si>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</si>
  <si>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</si>
  <si>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</si>
  <si>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</si>
  <si>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</si>
  <si>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</si>
  <si>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</si>
  <si>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</si>
  <si>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</si>
  <si>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</si>
  <si>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</si>
  <si>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</si>
  <si>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</si>
  <si>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</si>
  <si>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</si>
  <si>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</si>
  <si>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</si>
  <si>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</si>
  <si>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</si>
  <si>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</si>
  <si>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</si>
  <si>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</si>
  <si>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</si>
  <si>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</si>
  <si>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</si>
  <si>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</si>
  <si>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</si>
  <si>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</si>
  <si>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</si>
  <si>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</si>
  <si>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</si>
  <si>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</si>
  <si>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</si>
  <si>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</si>
  <si>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</si>
  <si>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</si>
  <si>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</si>
  <si>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</si>
  <si>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</si>
  <si>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</si>
  <si>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</si>
  <si>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</si>
  <si>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</si>
  <si>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</si>
  <si>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</si>
  <si>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</si>
  <si>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</si>
  <si>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</si>
  <si>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</si>
  <si>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</si>
  <si>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</si>
  <si>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</si>
  <si>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</si>
  <si>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</si>
  <si>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</si>
  <si>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</si>
  <si>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</si>
  <si>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</si>
  <si>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</si>
  <si>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</si>
  <si>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</si>
  <si>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</si>
  <si>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</si>
  <si>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</si>
  <si>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</si>
  <si>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</si>
  <si>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</si>
  <si>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</si>
  <si>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</si>
  <si>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</si>
  <si>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</si>
  <si>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</si>
  <si>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</si>
  <si>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</si>
  <si>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</si>
  <si>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</si>
  <si>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</si>
  <si>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</si>
  <si>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</si>
  <si>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</si>
  <si>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</si>
  <si>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</si>
  <si>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</si>
  <si>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</si>
  <si>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</si>
  <si>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</si>
  <si>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</si>
  <si>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</si>
  <si>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</si>
  <si>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</si>
  <si>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</si>
  <si>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</si>
  <si>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</si>
  <si>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</si>
  <si>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</si>
  <si>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</si>
  <si>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</si>
  <si>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</si>
  <si>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</si>
  <si>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</si>
  <si>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</si>
  <si>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</si>
  <si>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</si>
  <si>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</si>
  <si>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</si>
  <si>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</si>
  <si>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</si>
  <si>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</si>
  <si>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</si>
  <si>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</si>
  <si>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</si>
  <si>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</si>
  <si>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</si>
  <si>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</si>
  <si>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</si>
  <si>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</si>
  <si>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</si>
  <si>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</si>
  <si>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</si>
  <si>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</si>
  <si>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</si>
  <si>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</si>
  <si>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</si>
  <si>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</si>
  <si>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</si>
  <si>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</si>
  <si>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</si>
  <si>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</si>
  <si>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</si>
  <si>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</si>
  <si>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</si>
  <si>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</si>
  <si>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</si>
  <si>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</si>
  <si>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</si>
  <si>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</si>
  <si>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</si>
  <si>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</si>
  <si>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</si>
  <si>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</si>
  <si>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</si>
  <si>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</si>
  <si>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</si>
  <si>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</si>
  <si>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</si>
  <si>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</si>
  <si>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</si>
  <si>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</si>
  <si>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</si>
  <si>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</si>
  <si>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</si>
  <si>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</si>
  <si>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</si>
  <si>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</si>
  <si>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</si>
  <si>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</si>
  <si>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</si>
  <si>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</si>
  <si>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</si>
  <si>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</si>
  <si>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</si>
  <si>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</si>
  <si>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</si>
  <si>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</si>
  <si>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</si>
  <si>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</si>
  <si>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</si>
  <si>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</si>
  <si>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</si>
  <si>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</si>
  <si>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</si>
  <si>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</si>
  <si>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</si>
  <si>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</si>
  <si>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</si>
  <si>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</si>
  <si>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</si>
  <si>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</si>
  <si>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</si>
  <si>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</si>
  <si>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</si>
  <si>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</si>
  <si>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</si>
  <si>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</si>
  <si>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</si>
  <si>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</si>
  <si>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</si>
  <si>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</si>
  <si>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</si>
  <si>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</si>
  <si>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</si>
  <si>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</si>
  <si>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</si>
  <si>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</si>
  <si>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</si>
  <si>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</si>
  <si>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</si>
  <si>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</si>
  <si>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</si>
  <si>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</si>
  <si>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</si>
  <si>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</si>
  <si>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</si>
  <si>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</si>
  <si>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</si>
  <si>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</si>
  <si>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</si>
  <si>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</si>
  <si>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</si>
  <si>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</si>
  <si>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</si>
  <si>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</si>
  <si>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</si>
  <si>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</si>
  <si>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</si>
  <si>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</si>
  <si>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</si>
  <si>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</si>
  <si>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</si>
  <si>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</si>
  <si>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</si>
  <si>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</si>
  <si>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</si>
  <si>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</si>
  <si>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</si>
  <si>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</si>
  <si>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</si>
  <si>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</si>
  <si>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</si>
  <si>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</si>
  <si>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</si>
  <si>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</si>
  <si>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</si>
  <si>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</si>
  <si>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</si>
  <si>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</si>
  <si>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</si>
  <si>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</si>
  <si>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</si>
  <si>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</si>
  <si>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</si>
  <si>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</si>
  <si>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</si>
  <si>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</si>
  <si>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</si>
  <si>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</si>
  <si>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</si>
  <si>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</si>
  <si>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</si>
  <si>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</si>
  <si>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</si>
  <si>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</si>
  <si>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</si>
  <si>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</si>
  <si>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</si>
  <si>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</si>
  <si>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</si>
  <si>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</si>
  <si>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</si>
  <si>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</si>
  <si>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</si>
  <si>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</si>
  <si>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</si>
  <si>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</si>
  <si>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</si>
  <si>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</si>
  <si>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</si>
  <si>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</si>
  <si>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</si>
  <si>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</si>
  <si>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</si>
  <si>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</si>
  <si>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</si>
  <si>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</si>
  <si>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</si>
  <si>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</si>
  <si>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</si>
  <si>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</si>
  <si>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</si>
  <si>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</si>
  <si>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</si>
  <si>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</si>
  <si>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</si>
  <si>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</si>
  <si>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</si>
  <si>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</si>
  <si>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</si>
  <si>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</si>
  <si>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</si>
  <si>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</si>
  <si>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</si>
  <si>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</si>
  <si>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</si>
  <si>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</si>
  <si>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</si>
  <si>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</si>
  <si>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</si>
  <si>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</si>
  <si>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</si>
  <si>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</si>
  <si>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</si>
  <si>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</si>
  <si>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</si>
  <si>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</si>
  <si>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</si>
  <si>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</si>
  <si>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</si>
  <si>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</si>
  <si>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</si>
  <si>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</si>
  <si>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</si>
  <si>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</si>
  <si>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</si>
  <si>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</si>
  <si>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</si>
  <si>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</si>
  <si>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</si>
  <si>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</si>
  <si>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</si>
  <si>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</si>
  <si>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</si>
  <si>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</si>
  <si>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</si>
  <si>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</si>
  <si>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</si>
  <si>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</si>
  <si>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</si>
  <si>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</si>
  <si>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</si>
  <si>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</si>
  <si>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</si>
  <si>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</si>
  <si>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</si>
  <si>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</si>
  <si>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</si>
  <si>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</si>
  <si>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</si>
  <si>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</si>
  <si>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</si>
  <si>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</si>
  <si>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</si>
  <si>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</si>
  <si>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</si>
  <si>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</si>
  <si>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</si>
  <si>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</si>
  <si>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</si>
  <si>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</si>
  <si>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</si>
  <si>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</si>
  <si>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</si>
  <si>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</si>
  <si>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</si>
  <si>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</si>
  <si>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</si>
  <si>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</si>
  <si>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</si>
  <si>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</si>
  <si>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</si>
  <si>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</si>
  <si>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</si>
  <si>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</si>
  <si>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</si>
  <si>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</si>
  <si>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</si>
  <si>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</si>
  <si>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</si>
  <si>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</si>
  <si>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</si>
  <si>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</si>
  <si>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</si>
  <si>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</si>
  <si>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</si>
  <si>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</si>
  <si>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</si>
  <si>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</si>
  <si>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</si>
  <si>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</si>
  <si>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</si>
  <si>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</si>
  <si>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</si>
  <si>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</si>
  <si>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</si>
  <si>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</si>
  <si>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</si>
  <si>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</si>
  <si>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</si>
  <si>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</si>
  <si>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</si>
  <si>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</si>
  <si>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</si>
  <si>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</si>
  <si>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</si>
  <si>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</si>
  <si>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</si>
  <si>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</si>
  <si>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</si>
  <si>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</si>
  <si>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</si>
  <si>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</si>
  <si>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</si>
  <si>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</si>
  <si>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</si>
  <si>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</si>
  <si>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</si>
  <si>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</si>
  <si>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</si>
  <si>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</si>
  <si>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</si>
  <si>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</si>
  <si>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</si>
  <si>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</si>
  <si>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</si>
  <si>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</si>
  <si>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</si>
  <si>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</si>
  <si>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</si>
  <si>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</si>
  <si>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</si>
  <si>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</si>
  <si>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</si>
  <si>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</si>
  <si>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</si>
  <si>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</si>
  <si>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</si>
  <si>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</si>
  <si>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</si>
  <si>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</si>
  <si>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</si>
  <si>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</si>
  <si>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</si>
  <si>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</si>
  <si>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</si>
  <si>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</si>
  <si>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</si>
  <si>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</si>
  <si>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</si>
  <si>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</si>
  <si>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</si>
  <si>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</si>
  <si>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</si>
  <si>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</si>
  <si>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</si>
  <si>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</si>
  <si>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</si>
  <si>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</si>
  <si>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</si>
  <si>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</si>
  <si>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</si>
  <si>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</si>
  <si>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</si>
  <si>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</si>
  <si>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</si>
  <si>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</si>
  <si>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</si>
  <si>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</si>
  <si>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</si>
  <si>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</si>
  <si>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</si>
  <si>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</si>
  <si>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</si>
  <si>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</si>
  <si>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</si>
  <si>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</si>
  <si>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</si>
  <si>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</si>
  <si>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</si>
  <si>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</si>
  <si>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</si>
  <si>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</si>
  <si>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</si>
  <si>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</si>
  <si>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</si>
  <si>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</si>
  <si>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</si>
  <si>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</si>
  <si>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</si>
  <si>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</si>
  <si>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</si>
  <si>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</si>
  <si>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</si>
  <si>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</si>
  <si>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</si>
  <si>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</si>
  <si>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</si>
  <si>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</si>
  <si>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</si>
  <si>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</si>
  <si>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</si>
  <si>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</si>
  <si>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</si>
  <si>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</si>
  <si>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</si>
  <si>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</si>
  <si>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</si>
  <si>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</si>
  <si>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028504666</t>
  </si>
  <si>
    <t>028504665</t>
  </si>
  <si>
    <t>office@todoroff-wines.com</t>
  </si>
  <si>
    <t>www.todoroff-wines.com</t>
  </si>
  <si>
    <t>www.investor.bg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</si>
  <si>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</si>
  <si>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</si>
  <si>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</si>
  <si>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</si>
  <si>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</si>
  <si>
    <t>гр. София, бул. "Тодор Александров" №137, ет.6, офис А16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</si>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</sst>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Колев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1003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ТОДОРОВ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4099</v>
      </c>
      <c r="D6" s="675">
        <f aca="true" t="shared" si="0" ref="D6:D15">C6-E6</f>
        <v>0</v>
      </c>
      <c r="E6" s="674">
        <f>'1-Баланс'!G95</f>
        <v>4099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303</v>
      </c>
      <c r="D7" s="675">
        <f t="shared" si="0"/>
        <v>-3097</v>
      </c>
      <c r="E7" s="674">
        <f>'1-Баланс'!G18</f>
        <v>3400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-441</v>
      </c>
      <c r="D8" s="675">
        <f t="shared" si="0"/>
        <v>0</v>
      </c>
      <c r="E8" s="674">
        <f>ABS('2-Отчет за доходите'!C44)-ABS('2-Отчет за доходите'!G44)</f>
        <v>-441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19</v>
      </c>
      <c r="D9" s="675">
        <f t="shared" si="0"/>
        <v>0</v>
      </c>
      <c r="E9" s="674">
        <f>'3-Отчет за паричния поток'!C45</f>
        <v>19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303</v>
      </c>
      <c r="D11" s="675">
        <f t="shared" si="0"/>
        <v>0</v>
      </c>
      <c r="E11" s="674">
        <f>'4-Отчет за собствения капитал'!L34</f>
        <v>303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1127</v>
      </c>
      <c r="D12" s="675">
        <f t="shared" si="0"/>
        <v>0</v>
      </c>
      <c r="E12" s="674">
        <f>'Справка 5'!C27+'Справка 5'!C97</f>
        <v>1127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-0.279467680608365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-1.4554455445544554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-0.11617492096944151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-0.1075872163942425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0.7892107892107892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0.40076231962973047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0.17288320174244487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0.001361285053090117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0.001361285053090117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0.7325905292479109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0.38497194437667726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0.2887323943661972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12.528052805280527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0.9260795315930715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0.4521452145214521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0.09936708860759494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24.178343949044585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727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950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2627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180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110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76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469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835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467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134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630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1472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4099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210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708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-3364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650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-4014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-441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-3805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303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112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123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888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2783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695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833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778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145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117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183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3671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3673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601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292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462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61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33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221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169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132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1859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137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143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2002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2002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19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19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2021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1532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1578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1580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422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1580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422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441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441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1635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-1085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-461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-84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-11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214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214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210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210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646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646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650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650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-4014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-4014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-441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-4455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-4455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744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744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-441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303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303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24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242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91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1420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20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31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95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3000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14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12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43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69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7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4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11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80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10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230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48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1351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15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27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86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2922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10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230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48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1351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15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27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86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2922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119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24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240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71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454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40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82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536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20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14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12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43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69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7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4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11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80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129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10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229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33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401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41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13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21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75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476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129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10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229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33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401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41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13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21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75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476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727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950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3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6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11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2446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467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304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163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134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29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630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811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467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304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163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134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29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630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630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181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695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388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888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888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888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2088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833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778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145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183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69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114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117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3671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3682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695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388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888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888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888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2088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833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778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145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32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183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69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114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117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3671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3671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171</f>
        <v>171</v>
      </c>
      <c r="D12" s="197">
        <v>171</v>
      </c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>
        <f>727</f>
        <v>727</v>
      </c>
      <c r="D13" s="197">
        <v>737</v>
      </c>
      <c r="E13" s="89" t="s">
        <v>846</v>
      </c>
      <c r="F13" s="93" t="s">
        <v>29</v>
      </c>
      <c r="G13" s="197">
        <v>3400</v>
      </c>
      <c r="H13" s="196">
        <v>3400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7">
        <v>20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v>36</v>
      </c>
      <c r="D19" s="197"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950</v>
      </c>
      <c r="D20" s="598">
        <f>SUM(D12:D19)</f>
        <v>966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185</v>
      </c>
      <c r="D21" s="477">
        <v>185</v>
      </c>
      <c r="E21" s="89" t="s">
        <v>58</v>
      </c>
      <c r="F21" s="93" t="s">
        <v>59</v>
      </c>
      <c r="G21" s="197">
        <v>210</v>
      </c>
      <c r="H21" s="196">
        <v>214</v>
      </c>
    </row>
    <row r="22" spans="1:13" ht="15.75">
      <c r="A22" s="100" t="s">
        <v>60</v>
      </c>
      <c r="B22" s="97" t="s">
        <v>61</v>
      </c>
      <c r="C22" s="476">
        <v>173</v>
      </c>
      <c r="D22" s="477"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3</v>
      </c>
      <c r="D24" s="197">
        <v>4</v>
      </c>
      <c r="E24" s="202" t="s">
        <v>69</v>
      </c>
      <c r="F24" s="93" t="s">
        <v>70</v>
      </c>
      <c r="G24" s="197">
        <v>498</v>
      </c>
      <c r="H24" s="196">
        <v>498</v>
      </c>
      <c r="M24" s="98"/>
    </row>
    <row r="25" spans="1:8" ht="15.75">
      <c r="A25" s="89" t="s">
        <v>71</v>
      </c>
      <c r="B25" s="91" t="s">
        <v>72</v>
      </c>
      <c r="C25" s="197">
        <v>2</v>
      </c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708</v>
      </c>
      <c r="H26" s="598">
        <f>H20+H21+H22</f>
        <v>712</v>
      </c>
      <c r="M26" s="98"/>
    </row>
    <row r="27" spans="1:8" ht="15.75">
      <c r="A27" s="89" t="s">
        <v>79</v>
      </c>
      <c r="B27" s="91" t="s">
        <v>80</v>
      </c>
      <c r="C27" s="197">
        <v>6</v>
      </c>
      <c r="D27" s="197">
        <v>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-3364</v>
      </c>
      <c r="H28" s="596">
        <f>SUM(H29:H31)</f>
        <v>-2974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650</v>
      </c>
      <c r="H29" s="196">
        <v>646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-4014</v>
      </c>
      <c r="H30" s="196">
        <v>-3620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-441</v>
      </c>
      <c r="H33" s="196">
        <v>-394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-3805</v>
      </c>
      <c r="H34" s="598">
        <f>H28+H32+H33</f>
        <v>-3368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1127</v>
      </c>
      <c r="D36" s="196"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303</v>
      </c>
      <c r="H37" s="600">
        <f>H26+H18+H34</f>
        <v>744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>
        <f>479+237+98</f>
        <v>814</v>
      </c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7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</v>
      </c>
      <c r="H50" s="596">
        <f>SUM(H44:H49)</f>
        <v>825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231-50</f>
        <v>181</v>
      </c>
      <c r="D55" s="478">
        <v>201</v>
      </c>
      <c r="E55" s="89" t="s">
        <v>168</v>
      </c>
      <c r="F55" s="95" t="s">
        <v>169</v>
      </c>
      <c r="G55" s="197">
        <v>112</v>
      </c>
      <c r="H55" s="197">
        <v>114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2627</v>
      </c>
      <c r="D56" s="602">
        <f>D20+D21+D22+D28+D33+D46+D52+D54+D55</f>
        <v>2665</v>
      </c>
      <c r="E56" s="100" t="s">
        <v>850</v>
      </c>
      <c r="F56" s="99" t="s">
        <v>172</v>
      </c>
      <c r="G56" s="599">
        <f>G50+G52+G53+G54+G55</f>
        <v>123</v>
      </c>
      <c r="H56" s="600">
        <f>H50+H52+H53+H54+H55</f>
        <v>939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139+39+1+1</f>
        <v>180</v>
      </c>
      <c r="D59" s="197">
        <f>173</f>
        <v>173</v>
      </c>
      <c r="E59" s="201" t="s">
        <v>180</v>
      </c>
      <c r="F59" s="486" t="s">
        <v>181</v>
      </c>
      <c r="G59" s="197">
        <f>653+161+74</f>
        <v>888</v>
      </c>
      <c r="H59" s="197">
        <f>9</f>
        <v>9</v>
      </c>
    </row>
    <row r="60" spans="1:13" ht="15.75">
      <c r="A60" s="89" t="s">
        <v>178</v>
      </c>
      <c r="B60" s="91" t="s">
        <v>179</v>
      </c>
      <c r="C60" s="197">
        <f>110</f>
        <v>110</v>
      </c>
      <c r="D60" s="197">
        <f>189</f>
        <v>189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54+22</f>
        <v>76</v>
      </c>
      <c r="D61" s="197">
        <f>75</f>
        <v>75</v>
      </c>
      <c r="E61" s="200" t="s">
        <v>188</v>
      </c>
      <c r="F61" s="93" t="s">
        <v>189</v>
      </c>
      <c r="G61" s="595">
        <f>SUM(G62:G68)</f>
        <v>2783</v>
      </c>
      <c r="H61" s="596">
        <f>SUM(H62:H68)</f>
        <v>2082</v>
      </c>
    </row>
    <row r="62" spans="1:13" ht="15.75">
      <c r="A62" s="89" t="s">
        <v>186</v>
      </c>
      <c r="B62" s="94" t="s">
        <v>187</v>
      </c>
      <c r="C62" s="197">
        <f>469</f>
        <v>469</v>
      </c>
      <c r="D62" s="197">
        <f>330</f>
        <v>330</v>
      </c>
      <c r="E62" s="200" t="s">
        <v>192</v>
      </c>
      <c r="F62" s="93" t="s">
        <v>193</v>
      </c>
      <c r="G62" s="197">
        <f>307+368+20</f>
        <v>695</v>
      </c>
      <c r="H62" s="197">
        <f>307+52</f>
        <v>359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f>200+1+6+10+3+100+25+15+411+62</f>
        <v>833</v>
      </c>
      <c r="H63" s="197">
        <f>200+1+10+100+20+411+33</f>
        <v>775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761-1-25+5+8+30</f>
        <v>778</v>
      </c>
      <c r="H64" s="197">
        <f>467+7-21+8+6</f>
        <v>467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835</v>
      </c>
      <c r="D65" s="598">
        <f>SUM(D59:D64)</f>
        <v>767</v>
      </c>
      <c r="E65" s="89" t="s">
        <v>201</v>
      </c>
      <c r="F65" s="93" t="s">
        <v>202</v>
      </c>
      <c r="G65" s="197">
        <f>165-20</f>
        <v>145</v>
      </c>
      <c r="H65" s="197">
        <f>127+1</f>
        <v>128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32</f>
        <v>32</v>
      </c>
      <c r="H66" s="197">
        <f>30</f>
        <v>30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54+13+23+9+14+4</f>
        <v>117</v>
      </c>
      <c r="H67" s="197">
        <f>58+13+26+9+15+4</f>
        <v>125</v>
      </c>
    </row>
    <row r="68" spans="1:8" ht="15.75">
      <c r="A68" s="89" t="s">
        <v>206</v>
      </c>
      <c r="B68" s="91" t="s">
        <v>207</v>
      </c>
      <c r="C68" s="197">
        <f>528-227+3+163</f>
        <v>467</v>
      </c>
      <c r="D68" s="197">
        <f>279-115+25</f>
        <v>189</v>
      </c>
      <c r="E68" s="89" t="s">
        <v>212</v>
      </c>
      <c r="F68" s="93" t="s">
        <v>213</v>
      </c>
      <c r="G68" s="197">
        <f>49+17+53+16+41+7</f>
        <v>183</v>
      </c>
      <c r="H68" s="197">
        <f>39+13+88+16+31+11</f>
        <v>198</v>
      </c>
    </row>
    <row r="69" spans="1:8" ht="15.75">
      <c r="A69" s="89" t="s">
        <v>210</v>
      </c>
      <c r="B69" s="91" t="s">
        <v>211</v>
      </c>
      <c r="C69" s="197">
        <f>140-3+5-26+8+2+6+2</f>
        <v>134</v>
      </c>
      <c r="D69" s="197">
        <f>94-9+7+1+8+1+3+2</f>
        <v>107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29</f>
        <v>29</v>
      </c>
      <c r="D70" s="197">
        <f>27</f>
        <v>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3671</v>
      </c>
      <c r="H71" s="598">
        <f>H59+H60+H61+H69+H70</f>
        <v>2091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630</v>
      </c>
      <c r="D76" s="598">
        <f>SUM(D68:D75)</f>
        <v>323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3673</v>
      </c>
      <c r="H79" s="600">
        <f>H71+H73+H75+H77</f>
        <v>2093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7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1472</v>
      </c>
      <c r="D94" s="602">
        <f>D65+D76+D85+D92+D93</f>
        <v>1111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4099</v>
      </c>
      <c r="D95" s="604">
        <f>D94+D56</f>
        <v>3776</v>
      </c>
      <c r="E95" s="229" t="s">
        <v>942</v>
      </c>
      <c r="F95" s="489" t="s">
        <v>268</v>
      </c>
      <c r="G95" s="603">
        <f>G37+G40+G56+G79</f>
        <v>4099</v>
      </c>
      <c r="H95" s="604">
        <f>H37+H40+H56+H79</f>
        <v>3776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Колев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601</f>
        <v>601</v>
      </c>
      <c r="D12" s="316">
        <v>495</v>
      </c>
      <c r="E12" s="194" t="s">
        <v>277</v>
      </c>
      <c r="F12" s="240" t="s">
        <v>278</v>
      </c>
      <c r="G12" s="316">
        <v>1532</v>
      </c>
      <c r="H12" s="316">
        <v>1245</v>
      </c>
    </row>
    <row r="13" spans="1:8" ht="15.75">
      <c r="A13" s="194" t="s">
        <v>279</v>
      </c>
      <c r="B13" s="190" t="s">
        <v>280</v>
      </c>
      <c r="C13" s="316">
        <f>292</f>
        <v>292</v>
      </c>
      <c r="D13" s="316">
        <v>249</v>
      </c>
      <c r="E13" s="194" t="s">
        <v>281</v>
      </c>
      <c r="F13" s="240" t="s">
        <v>282</v>
      </c>
      <c r="G13" s="316">
        <v>16</v>
      </c>
      <c r="H13" s="316">
        <v>7</v>
      </c>
    </row>
    <row r="14" spans="1:8" ht="15.75">
      <c r="A14" s="194" t="s">
        <v>283</v>
      </c>
      <c r="B14" s="190" t="s">
        <v>284</v>
      </c>
      <c r="C14" s="316">
        <f>20</f>
        <v>20</v>
      </c>
      <c r="D14" s="316">
        <v>70</v>
      </c>
      <c r="E14" s="245" t="s">
        <v>285</v>
      </c>
      <c r="F14" s="240" t="s">
        <v>286</v>
      </c>
      <c r="G14" s="316">
        <v>5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f>462</f>
        <v>462</v>
      </c>
      <c r="D15" s="316">
        <v>462</v>
      </c>
      <c r="E15" s="245" t="s">
        <v>79</v>
      </c>
      <c r="F15" s="240" t="s">
        <v>289</v>
      </c>
      <c r="G15" s="316">
        <v>25</v>
      </c>
      <c r="H15" s="316">
        <v>512</v>
      </c>
    </row>
    <row r="16" spans="1:8" ht="15.75">
      <c r="A16" s="194" t="s">
        <v>290</v>
      </c>
      <c r="B16" s="190" t="s">
        <v>291</v>
      </c>
      <c r="C16" s="316">
        <f>61</f>
        <v>61</v>
      </c>
      <c r="D16" s="316">
        <v>59</v>
      </c>
      <c r="E16" s="236" t="s">
        <v>52</v>
      </c>
      <c r="F16" s="264" t="s">
        <v>292</v>
      </c>
      <c r="G16" s="628">
        <f>SUM(G12:G15)</f>
        <v>1578</v>
      </c>
      <c r="H16" s="629">
        <f>SUM(H12:H15)</f>
        <v>1770</v>
      </c>
    </row>
    <row r="17" spans="1:8" ht="31.5">
      <c r="A17" s="194" t="s">
        <v>293</v>
      </c>
      <c r="B17" s="190" t="s">
        <v>294</v>
      </c>
      <c r="C17" s="316">
        <f>33</f>
        <v>33</v>
      </c>
      <c r="D17" s="316">
        <v>297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221</f>
        <v>221</v>
      </c>
      <c r="D18" s="316">
        <v>222</v>
      </c>
      <c r="E18" s="234" t="s">
        <v>297</v>
      </c>
      <c r="F18" s="238" t="s">
        <v>298</v>
      </c>
      <c r="G18" s="639">
        <v>2</v>
      </c>
      <c r="H18" s="640">
        <v>3</v>
      </c>
    </row>
    <row r="19" spans="1:8" ht="15.75">
      <c r="A19" s="194" t="s">
        <v>299</v>
      </c>
      <c r="B19" s="190" t="s">
        <v>300</v>
      </c>
      <c r="C19" s="316">
        <f>169</f>
        <v>169</v>
      </c>
      <c r="D19" s="316">
        <v>132</v>
      </c>
      <c r="E19" s="194" t="s">
        <v>301</v>
      </c>
      <c r="F19" s="237" t="s">
        <v>302</v>
      </c>
      <c r="G19" s="316">
        <v>2</v>
      </c>
      <c r="H19" s="317">
        <v>3</v>
      </c>
    </row>
    <row r="20" spans="1:8" ht="15.75">
      <c r="A20" s="235" t="s">
        <v>303</v>
      </c>
      <c r="B20" s="190" t="s">
        <v>304</v>
      </c>
      <c r="C20" s="316">
        <v>132</v>
      </c>
      <c r="D20" s="316">
        <v>99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1859</v>
      </c>
      <c r="D22" s="629">
        <f>SUM(D12:D18)+D19</f>
        <v>1986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137</f>
        <v>137</v>
      </c>
      <c r="D25" s="316">
        <v>190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f>6</f>
        <v>6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143</v>
      </c>
      <c r="D29" s="629">
        <f>SUM(D25:D28)</f>
        <v>194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2002</v>
      </c>
      <c r="D31" s="635">
        <f>D29+D22</f>
        <v>2180</v>
      </c>
      <c r="E31" s="251" t="s">
        <v>824</v>
      </c>
      <c r="F31" s="266" t="s">
        <v>331</v>
      </c>
      <c r="G31" s="253">
        <f>G16+G18+G27</f>
        <v>1580</v>
      </c>
      <c r="H31" s="254">
        <f>H16+H18+H27</f>
        <v>1773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422</v>
      </c>
      <c r="H33" s="629">
        <f>IF((D31-H31)&gt;0,D31-H31,0)</f>
        <v>407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2002</v>
      </c>
      <c r="D36" s="637">
        <f>D31-D34+D35</f>
        <v>2180</v>
      </c>
      <c r="E36" s="262" t="s">
        <v>346</v>
      </c>
      <c r="F36" s="256" t="s">
        <v>347</v>
      </c>
      <c r="G36" s="267">
        <f>G35-G34+G31</f>
        <v>1580</v>
      </c>
      <c r="H36" s="268">
        <f>H35-H34+H31</f>
        <v>1773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422</v>
      </c>
      <c r="H37" s="254">
        <f>IF((D36-H36)&gt;0,D36-H36,0)</f>
        <v>407</v>
      </c>
    </row>
    <row r="38" spans="1:8" ht="15.75">
      <c r="A38" s="234" t="s">
        <v>352</v>
      </c>
      <c r="B38" s="238" t="s">
        <v>353</v>
      </c>
      <c r="C38" s="628">
        <f>C39+C40+C41</f>
        <v>19</v>
      </c>
      <c r="D38" s="629">
        <f>D39+D40+D41</f>
        <v>-13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19</v>
      </c>
      <c r="D40" s="316">
        <v>-13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441</v>
      </c>
      <c r="H42" s="244">
        <f>IF(H37&gt;0,IF(D38+H37&lt;0,0,D38+H37),IF(D37-D38&lt;0,D38-D37,0))</f>
        <v>394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441</v>
      </c>
      <c r="H44" s="268">
        <f>IF(D42=0,IF(H42-H43&gt;0,H42-H43+D43,0),IF(D42-D43&lt;0,D43-D42+H43,0))</f>
        <v>394</v>
      </c>
    </row>
    <row r="45" spans="1:8" ht="16.5" thickBot="1">
      <c r="A45" s="270" t="s">
        <v>371</v>
      </c>
      <c r="B45" s="271" t="s">
        <v>372</v>
      </c>
      <c r="C45" s="630">
        <f>C36+C38+C42</f>
        <v>2021</v>
      </c>
      <c r="D45" s="631">
        <f>D36+D38+D42</f>
        <v>2167</v>
      </c>
      <c r="E45" s="270" t="s">
        <v>373</v>
      </c>
      <c r="F45" s="272" t="s">
        <v>374</v>
      </c>
      <c r="G45" s="630">
        <f>G42+G36</f>
        <v>2021</v>
      </c>
      <c r="H45" s="631">
        <f>H42+H36</f>
        <v>2167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Колев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1635</v>
      </c>
      <c r="D11" s="197">
        <v>1685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-1085</v>
      </c>
      <c r="D12" s="197">
        <v>-1128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-461</v>
      </c>
      <c r="D14" s="197">
        <v>-480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-84</v>
      </c>
      <c r="D15" s="197">
        <v>-52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-11</v>
      </c>
      <c r="D18" s="197">
        <v>-79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7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-64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373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369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-292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-292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</v>
      </c>
      <c r="D47" s="298">
        <v>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Колев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214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646</v>
      </c>
      <c r="J13" s="584">
        <f>'1-Баланс'!H30+'1-Баланс'!H33</f>
        <v>-4014</v>
      </c>
      <c r="K13" s="585"/>
      <c r="L13" s="584">
        <f>SUM(C13:K13)</f>
        <v>744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3400</v>
      </c>
      <c r="D17" s="653">
        <f aca="true" t="shared" si="2" ref="D17:M17">D13+D14</f>
        <v>0</v>
      </c>
      <c r="E17" s="653">
        <f t="shared" si="2"/>
        <v>214</v>
      </c>
      <c r="F17" s="653">
        <f t="shared" si="2"/>
        <v>0</v>
      </c>
      <c r="G17" s="653">
        <f t="shared" si="2"/>
        <v>498</v>
      </c>
      <c r="H17" s="653">
        <f t="shared" si="2"/>
        <v>0</v>
      </c>
      <c r="I17" s="653">
        <f t="shared" si="2"/>
        <v>646</v>
      </c>
      <c r="J17" s="653">
        <f t="shared" si="2"/>
        <v>-4014</v>
      </c>
      <c r="K17" s="653">
        <f t="shared" si="2"/>
        <v>0</v>
      </c>
      <c r="L17" s="584">
        <f t="shared" si="1"/>
        <v>744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-441</v>
      </c>
      <c r="K18" s="585"/>
      <c r="L18" s="584">
        <f t="shared" si="1"/>
        <v>-441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</v>
      </c>
      <c r="F30" s="316"/>
      <c r="G30" s="316"/>
      <c r="H30" s="316"/>
      <c r="I30" s="316">
        <v>4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3400</v>
      </c>
      <c r="D31" s="653">
        <f aca="true" t="shared" si="6" ref="D31:M31">D19+D22+D23+D26+D30+D29+D17+D18</f>
        <v>0</v>
      </c>
      <c r="E31" s="653">
        <f t="shared" si="6"/>
        <v>210</v>
      </c>
      <c r="F31" s="653">
        <f t="shared" si="6"/>
        <v>0</v>
      </c>
      <c r="G31" s="653">
        <f t="shared" si="6"/>
        <v>498</v>
      </c>
      <c r="H31" s="653">
        <f t="shared" si="6"/>
        <v>0</v>
      </c>
      <c r="I31" s="653">
        <f t="shared" si="6"/>
        <v>650</v>
      </c>
      <c r="J31" s="653">
        <f t="shared" si="6"/>
        <v>-4455</v>
      </c>
      <c r="K31" s="653">
        <f t="shared" si="6"/>
        <v>0</v>
      </c>
      <c r="L31" s="584">
        <f t="shared" si="1"/>
        <v>303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210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650</v>
      </c>
      <c r="J34" s="587">
        <f t="shared" si="7"/>
        <v>-4455</v>
      </c>
      <c r="K34" s="587">
        <f t="shared" si="7"/>
        <v>0</v>
      </c>
      <c r="L34" s="651">
        <f t="shared" si="1"/>
        <v>303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Колев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 t="s">
        <v>1000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1002</v>
      </c>
      <c r="B29" s="680"/>
      <c r="C29" s="92"/>
      <c r="D29" s="92">
        <v>34</v>
      </c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Колев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119</v>
      </c>
      <c r="L12" s="328">
        <f>10</f>
        <v>10</v>
      </c>
      <c r="M12" s="328"/>
      <c r="N12" s="329">
        <f aca="true" t="shared" si="4" ref="N12:N41">K12+L12-M12</f>
        <v>129</v>
      </c>
      <c r="O12" s="328"/>
      <c r="P12" s="328"/>
      <c r="Q12" s="329">
        <f t="shared" si="0"/>
        <v>129</v>
      </c>
      <c r="R12" s="340">
        <f t="shared" si="1"/>
        <v>727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</v>
      </c>
      <c r="E13" s="328"/>
      <c r="F13" s="328">
        <f>11+3</f>
        <v>14</v>
      </c>
      <c r="G13" s="329">
        <f t="shared" si="2"/>
        <v>10</v>
      </c>
      <c r="H13" s="328"/>
      <c r="I13" s="328"/>
      <c r="J13" s="329">
        <f t="shared" si="3"/>
        <v>10</v>
      </c>
      <c r="K13" s="328">
        <v>24</v>
      </c>
      <c r="L13" s="328"/>
      <c r="M13" s="328">
        <f>11+3</f>
        <v>14</v>
      </c>
      <c r="N13" s="329">
        <f t="shared" si="4"/>
        <v>10</v>
      </c>
      <c r="O13" s="328"/>
      <c r="P13" s="328"/>
      <c r="Q13" s="329">
        <f t="shared" si="0"/>
        <v>10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242</v>
      </c>
      <c r="E15" s="328"/>
      <c r="F15" s="328">
        <f>12</f>
        <v>12</v>
      </c>
      <c r="G15" s="329">
        <f t="shared" si="2"/>
        <v>230</v>
      </c>
      <c r="H15" s="328"/>
      <c r="I15" s="328"/>
      <c r="J15" s="329">
        <f t="shared" si="3"/>
        <v>230</v>
      </c>
      <c r="K15" s="328">
        <v>240</v>
      </c>
      <c r="L15" s="328">
        <f>1</f>
        <v>1</v>
      </c>
      <c r="M15" s="328">
        <f>12</f>
        <v>12</v>
      </c>
      <c r="N15" s="329">
        <f t="shared" si="4"/>
        <v>229</v>
      </c>
      <c r="O15" s="328"/>
      <c r="P15" s="328"/>
      <c r="Q15" s="329">
        <f t="shared" si="0"/>
        <v>229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91</v>
      </c>
      <c r="E16" s="328"/>
      <c r="F16" s="328">
        <f>21+22</f>
        <v>43</v>
      </c>
      <c r="G16" s="329">
        <f t="shared" si="2"/>
        <v>48</v>
      </c>
      <c r="H16" s="328"/>
      <c r="I16" s="328"/>
      <c r="J16" s="329">
        <f t="shared" si="3"/>
        <v>48</v>
      </c>
      <c r="K16" s="328">
        <v>71</v>
      </c>
      <c r="L16" s="328">
        <f>5</f>
        <v>5</v>
      </c>
      <c r="M16" s="328">
        <f>21+22</f>
        <v>43</v>
      </c>
      <c r="N16" s="329">
        <f t="shared" si="4"/>
        <v>33</v>
      </c>
      <c r="O16" s="328"/>
      <c r="P16" s="328"/>
      <c r="Q16" s="329">
        <f t="shared" si="0"/>
        <v>33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1420</v>
      </c>
      <c r="E19" s="330">
        <f>SUM(E11:E18)</f>
        <v>0</v>
      </c>
      <c r="F19" s="330">
        <f>SUM(F11:F18)</f>
        <v>69</v>
      </c>
      <c r="G19" s="329">
        <f t="shared" si="2"/>
        <v>1351</v>
      </c>
      <c r="H19" s="330">
        <f>SUM(H11:H18)</f>
        <v>0</v>
      </c>
      <c r="I19" s="330">
        <f>SUM(I11:I18)</f>
        <v>0</v>
      </c>
      <c r="J19" s="329">
        <f t="shared" si="3"/>
        <v>1351</v>
      </c>
      <c r="K19" s="330">
        <f>SUM(K11:K18)</f>
        <v>454</v>
      </c>
      <c r="L19" s="330">
        <f>SUM(L11:L18)</f>
        <v>16</v>
      </c>
      <c r="M19" s="330">
        <f>SUM(M11:M18)</f>
        <v>69</v>
      </c>
      <c r="N19" s="329">
        <f t="shared" si="4"/>
        <v>401</v>
      </c>
      <c r="O19" s="330">
        <f>SUM(O11:O18)</f>
        <v>0</v>
      </c>
      <c r="P19" s="330">
        <f>SUM(P11:P18)</f>
        <v>0</v>
      </c>
      <c r="Q19" s="329">
        <f t="shared" si="0"/>
        <v>401</v>
      </c>
      <c r="R19" s="340">
        <f t="shared" si="1"/>
        <v>950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40</v>
      </c>
      <c r="L23" s="328">
        <v>1</v>
      </c>
      <c r="M23" s="328"/>
      <c r="N23" s="329">
        <f t="shared" si="4"/>
        <v>41</v>
      </c>
      <c r="O23" s="328"/>
      <c r="P23" s="328"/>
      <c r="Q23" s="329">
        <f t="shared" si="0"/>
        <v>41</v>
      </c>
      <c r="R23" s="340">
        <f t="shared" si="1"/>
        <v>3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20</v>
      </c>
      <c r="E24" s="328">
        <f>2</f>
        <v>2</v>
      </c>
      <c r="F24" s="328">
        <f>7</f>
        <v>7</v>
      </c>
      <c r="G24" s="329">
        <f t="shared" si="2"/>
        <v>15</v>
      </c>
      <c r="H24" s="328"/>
      <c r="I24" s="328"/>
      <c r="J24" s="329">
        <f t="shared" si="3"/>
        <v>15</v>
      </c>
      <c r="K24" s="328">
        <v>19</v>
      </c>
      <c r="L24" s="328">
        <v>1</v>
      </c>
      <c r="M24" s="328">
        <f>7</f>
        <v>7</v>
      </c>
      <c r="N24" s="329">
        <f t="shared" si="4"/>
        <v>13</v>
      </c>
      <c r="O24" s="328"/>
      <c r="P24" s="328"/>
      <c r="Q24" s="329">
        <f t="shared" si="0"/>
        <v>13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31</v>
      </c>
      <c r="E26" s="328"/>
      <c r="F26" s="328">
        <f>4</f>
        <v>4</v>
      </c>
      <c r="G26" s="329">
        <f t="shared" si="2"/>
        <v>27</v>
      </c>
      <c r="H26" s="328"/>
      <c r="I26" s="328"/>
      <c r="J26" s="329">
        <f t="shared" si="3"/>
        <v>27</v>
      </c>
      <c r="K26" s="328">
        <v>23</v>
      </c>
      <c r="L26" s="328">
        <v>2</v>
      </c>
      <c r="M26" s="328">
        <f>4</f>
        <v>4</v>
      </c>
      <c r="N26" s="329">
        <f t="shared" si="4"/>
        <v>21</v>
      </c>
      <c r="O26" s="328"/>
      <c r="P26" s="328"/>
      <c r="Q26" s="329">
        <f t="shared" si="0"/>
        <v>21</v>
      </c>
      <c r="R26" s="340">
        <f t="shared" si="1"/>
        <v>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95</v>
      </c>
      <c r="E27" s="332">
        <f aca="true" t="shared" si="5" ref="E27:P27">SUM(E23:E26)</f>
        <v>2</v>
      </c>
      <c r="F27" s="332">
        <f t="shared" si="5"/>
        <v>11</v>
      </c>
      <c r="G27" s="333">
        <f t="shared" si="2"/>
        <v>86</v>
      </c>
      <c r="H27" s="332">
        <f t="shared" si="5"/>
        <v>0</v>
      </c>
      <c r="I27" s="332">
        <f t="shared" si="5"/>
        <v>0</v>
      </c>
      <c r="J27" s="333">
        <f t="shared" si="3"/>
        <v>86</v>
      </c>
      <c r="K27" s="332">
        <f t="shared" si="5"/>
        <v>82</v>
      </c>
      <c r="L27" s="332">
        <f t="shared" si="5"/>
        <v>4</v>
      </c>
      <c r="M27" s="332">
        <f t="shared" si="5"/>
        <v>11</v>
      </c>
      <c r="N27" s="333">
        <f t="shared" si="4"/>
        <v>75</v>
      </c>
      <c r="O27" s="332">
        <f t="shared" si="5"/>
        <v>0</v>
      </c>
      <c r="P27" s="332">
        <f t="shared" si="5"/>
        <v>0</v>
      </c>
      <c r="Q27" s="333">
        <f t="shared" si="0"/>
        <v>75</v>
      </c>
      <c r="R27" s="343">
        <f t="shared" si="1"/>
        <v>11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3000</v>
      </c>
      <c r="E42" s="349">
        <f>E19+E20+E21+E27+E40+E41</f>
        <v>2</v>
      </c>
      <c r="F42" s="349">
        <f aca="true" t="shared" si="11" ref="F42:R42">F19+F20+F21+F27+F40+F41</f>
        <v>80</v>
      </c>
      <c r="G42" s="349">
        <f t="shared" si="11"/>
        <v>2922</v>
      </c>
      <c r="H42" s="349">
        <f t="shared" si="11"/>
        <v>0</v>
      </c>
      <c r="I42" s="349">
        <f t="shared" si="11"/>
        <v>0</v>
      </c>
      <c r="J42" s="349">
        <f t="shared" si="11"/>
        <v>2922</v>
      </c>
      <c r="K42" s="349">
        <f t="shared" si="11"/>
        <v>536</v>
      </c>
      <c r="L42" s="349">
        <f t="shared" si="11"/>
        <v>20</v>
      </c>
      <c r="M42" s="349">
        <f t="shared" si="11"/>
        <v>80</v>
      </c>
      <c r="N42" s="349">
        <f t="shared" si="11"/>
        <v>476</v>
      </c>
      <c r="O42" s="349">
        <f t="shared" si="11"/>
        <v>0</v>
      </c>
      <c r="P42" s="349">
        <f t="shared" si="11"/>
        <v>0</v>
      </c>
      <c r="Q42" s="349">
        <f t="shared" si="11"/>
        <v>476</v>
      </c>
      <c r="R42" s="350">
        <f t="shared" si="11"/>
        <v>2446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Колев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999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/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K25 G23:J23 M23:Q23 G24:J24 N24:Q24 G27:Q42 G26:J26 N26:Q26 M25:Q25" formula="1"/>
    <ignoredError sqref="F13:F15 E24:F24 F16:F17 F26 L12:M12 M24 M26 L13:M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467</v>
      </c>
      <c r="D26" s="362">
        <f>SUM(D27:D29)</f>
        <v>467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304</f>
        <v>304</v>
      </c>
      <c r="D28" s="368">
        <f>304</f>
        <v>304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163</f>
        <v>163</v>
      </c>
      <c r="D29" s="368">
        <f>163</f>
        <v>163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140-3+5-26+8+2+6+2</f>
        <v>134</v>
      </c>
      <c r="D30" s="197">
        <f>140-3+5-26+8+2+6+2</f>
        <v>134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29</f>
        <v>29</v>
      </c>
      <c r="D31" s="368">
        <f>29</f>
        <v>29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630</v>
      </c>
      <c r="D45" s="438">
        <f>D26+D30+D31+D33+D32+D34+D35+D40</f>
        <v>630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811</v>
      </c>
      <c r="D46" s="444">
        <f>D45+D23+D21+D11</f>
        <v>630</v>
      </c>
      <c r="E46" s="445">
        <f>E45+E23+E21+E11</f>
        <v>181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</v>
      </c>
      <c r="D68" s="435">
        <f>D54+D58+D63+D64+D65+D66</f>
        <v>0</v>
      </c>
      <c r="E68" s="436">
        <f t="shared" si="1"/>
        <v>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695</v>
      </c>
      <c r="D73" s="137">
        <f>SUM(D74:D76)</f>
        <v>695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181+186+1+20</f>
        <v>388</v>
      </c>
      <c r="D74" s="197">
        <f>181+186+1+20</f>
        <v>388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888</v>
      </c>
      <c r="D77" s="138">
        <f>D78+D80</f>
        <v>888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653+161+74</f>
        <v>888</v>
      </c>
      <c r="D78" s="197">
        <f>653+161+74</f>
        <v>888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653+161+74</f>
        <v>888</v>
      </c>
      <c r="D79" s="197">
        <f>653+161+74</f>
        <v>888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2088</v>
      </c>
      <c r="D87" s="134">
        <f>SUM(D88:D92)+D96</f>
        <v>2088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833</f>
        <v>833</v>
      </c>
      <c r="D88" s="197">
        <f>833</f>
        <v>833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778</f>
        <v>778</v>
      </c>
      <c r="D89" s="197">
        <f>778</f>
        <v>778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145</f>
        <v>145</v>
      </c>
      <c r="D90" s="197">
        <f>145</f>
        <v>145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32</f>
        <v>32</v>
      </c>
      <c r="D91" s="197">
        <f>32</f>
        <v>32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183</v>
      </c>
      <c r="D92" s="138">
        <f>SUM(D93:D95)</f>
        <v>183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53+16</f>
        <v>69</v>
      </c>
      <c r="D94" s="197">
        <f>53+16</f>
        <v>69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49+17+41+7</f>
        <v>114</v>
      </c>
      <c r="D95" s="197">
        <f>49+17+41+7</f>
        <v>114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54+13+23+9+14+4</f>
        <v>117</v>
      </c>
      <c r="D96" s="197">
        <f>54+13+23+9+14+4</f>
        <v>117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3671</v>
      </c>
      <c r="D98" s="433">
        <f>D87+D82+D77+D73+D97</f>
        <v>3671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3682</v>
      </c>
      <c r="D99" s="427">
        <f>D98+D70+D68</f>
        <v>3671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Колев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Колев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999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2018-04-02T07:17:22Z</cp:lastPrinted>
  <dcterms:created xsi:type="dcterms:W3CDTF">2006-09-16T00:00:00Z</dcterms:created>
  <dcterms:modified xsi:type="dcterms:W3CDTF">2018-04-02T07:17:26Z</dcterms:modified>
  <cp:category/>
  <cp:version/>
  <cp:contentType/>
  <cp:contentStatus/>
</cp:coreProperties>
</file>