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88" yWindow="65380" windowWidth="10920" windowHeight="7320" tabRatio="9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.№6-в т.ч.Франция" sheetId="7" r:id="rId7"/>
    <sheet name="спр.№6-в т.ч. Испания" sheetId="8" r:id="rId8"/>
    <sheet name="спр.№6-в т.ч. Германия" sheetId="9" r:id="rId9"/>
    <sheet name="спр.№6-в т.ч. Румъния" sheetId="10" r:id="rId10"/>
    <sheet name="справка №7" sheetId="11" r:id="rId11"/>
    <sheet name="справка №8" sheetId="12" r:id="rId12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№4-ОСК'!$A$1:$N$35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<sst xmlns="http://schemas.openxmlformats.org/spreadsheetml/2006/main" count="1875" uniqueCount="880">
  <si>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</si>
  <si>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</si>
  <si>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</si>
  <si>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</si>
  <si>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</si>
  <si>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</si>
  <si>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</si>
  <si>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</si>
  <si>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</si>
  <si>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</si>
  <si>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</si>
  <si>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</si>
  <si>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</si>
  <si>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</si>
  <si>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</si>
  <si>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</si>
  <si>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</si>
  <si>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</si>
  <si>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</si>
  <si>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</si>
  <si>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</si>
  <si>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</si>
  <si>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</si>
  <si>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</si>
  <si>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</si>
  <si>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</si>
  <si>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</si>
  <si>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</si>
  <si>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</si>
  <si>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</si>
  <si>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</si>
  <si>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</si>
  <si>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</si>
  <si>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</si>
  <si>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</si>
  <si>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</si>
  <si>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</si>
  <si>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</si>
  <si>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</si>
  <si>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</si>
  <si>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</si>
  <si>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</si>
  <si>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</si>
  <si>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</si>
  <si>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</si>
  <si>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</si>
  <si>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</si>
  <si>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</si>
  <si>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</si>
  <si>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</si>
  <si>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</si>
  <si>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</si>
  <si>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</si>
  <si>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</si>
  <si>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</si>
  <si>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</si>
  <si>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</si>
  <si>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</si>
  <si>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</si>
  <si>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</si>
  <si>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</si>
  <si>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</si>
  <si>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</si>
  <si>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</si>
  <si>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</si>
  <si>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</si>
  <si>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</si>
  <si>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</si>
  <si>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</si>
  <si>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</si>
  <si>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</si>
  <si>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</si>
  <si>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</si>
  <si>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</si>
  <si>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</si>
  <si>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</si>
  <si>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</si>
  <si>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</si>
  <si>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</si>
  <si>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</si>
  <si>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</si>
  <si>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</si>
  <si>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</si>
  <si>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</si>
  <si>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</si>
  <si>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</si>
  <si>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</si>
  <si>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</si>
  <si>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</si>
  <si>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</si>
  <si>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</si>
  <si>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</si>
  <si>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</si>
  <si>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</si>
  <si>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</si>
  <si>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</si>
  <si>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</si>
  <si>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</si>
  <si>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</si>
  <si>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</si>
  <si>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</si>
  <si>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</si>
  <si>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</si>
  <si>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</si>
  <si>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</si>
  <si>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</si>
  <si>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</si>
  <si>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</si>
  <si>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</si>
  <si>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</si>
  <si>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</si>
  <si>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</si>
  <si>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</si>
  <si>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</si>
  <si>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</si>
  <si>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</si>
  <si>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</si>
  <si>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</si>
  <si>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</si>
  <si>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</si>
  <si>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</si>
  <si>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</si>
  <si>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</si>
  <si>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</si>
  <si>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</si>
  <si>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</si>
  <si>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</si>
  <si>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</si>
  <si>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</si>
  <si>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</si>
  <si>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</si>
  <si>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</si>
  <si>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</si>
  <si>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</si>
  <si>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</si>
  <si>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</si>
  <si>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</si>
  <si>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</si>
  <si>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</si>
  <si>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</si>
  <si>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</si>
  <si>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</si>
  <si>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</si>
  <si>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</si>
  <si>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</si>
  <si>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</si>
  <si>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</si>
  <si>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</si>
  <si>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</si>
  <si>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</si>
  <si>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</si>
  <si>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</si>
  <si>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</si>
  <si>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</si>
  <si>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</si>
  <si>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</si>
  <si>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</si>
  <si>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</si>
  <si>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</si>
  <si>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</si>
  <si>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</si>
  <si>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</si>
  <si>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</si>
  <si>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</si>
  <si>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</si>
  <si>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</si>
  <si>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</si>
  <si>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</si>
  <si>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</si>
  <si>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</si>
  <si>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</si>
  <si>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</si>
  <si>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</si>
  <si>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</si>
  <si>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</si>
  <si>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</si>
  <si>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</si>
  <si>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</si>
  <si>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</si>
  <si>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</si>
  <si>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</si>
  <si>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</si>
  <si>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</si>
  <si>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</si>
  <si>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</si>
  <si>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</si>
  <si>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</si>
  <si>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</si>
  <si>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</si>
  <si>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</si>
  <si>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</si>
  <si>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</si>
  <si>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</si>
  <si>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</si>
  <si>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</si>
  <si>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</si>
  <si>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</si>
  <si>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</si>
  <si>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</si>
  <si>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</si>
  <si>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</si>
  <si>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</si>
  <si>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</si>
  <si>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</si>
  <si>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</si>
  <si>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</si>
  <si>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</si>
  <si>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</si>
  <si>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</si>
  <si>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</si>
  <si>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</si>
  <si>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</si>
  <si>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</si>
  <si>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</si>
  <si>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</si>
  <si>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</si>
  <si>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</si>
  <si>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</si>
  <si>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</si>
  <si>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</si>
  <si>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</si>
  <si>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</si>
  <si>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</si>
  <si>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</si>
  <si>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</si>
  <si>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</si>
  <si>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</si>
  <si>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</si>
  <si>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</si>
  <si>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</si>
  <si>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</si>
  <si>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</si>
  <si>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</si>
  <si>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</si>
  <si>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</si>
  <si>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</si>
  <si>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</si>
  <si>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</si>
  <si>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</si>
  <si>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</si>
  <si>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</si>
  <si>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</si>
  <si>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</si>
  <si>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</si>
  <si>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</si>
  <si>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</si>
  <si>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</si>
  <si>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</si>
  <si>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</si>
  <si>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</si>
  <si>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</si>
  <si>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</si>
  <si>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</si>
  <si>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</si>
  <si>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</si>
  <si>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</si>
  <si>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</si>
  <si>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</si>
  <si>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</si>
  <si>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</si>
  <si>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</si>
  <si>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</si>
  <si>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</si>
  <si>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</si>
  <si>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</si>
  <si>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</si>
  <si>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</si>
  <si>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</si>
  <si>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</si>
  <si>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</si>
  <si>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</si>
  <si>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</si>
  <si>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</si>
  <si>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</si>
  <si>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</si>
  <si>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</si>
  <si>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</si>
  <si>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</si>
  <si>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</si>
  <si>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</si>
  <si>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</si>
  <si>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</si>
  <si>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</si>
  <si>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</si>
  <si>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</si>
  <si>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</si>
  <si>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</si>
  <si>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</si>
  <si>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</si>
  <si>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</si>
  <si>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</si>
  <si>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</si>
  <si>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</si>
  <si>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</si>
  <si>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</si>
  <si>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</si>
  <si>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</si>
  <si>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</si>
  <si>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</si>
  <si>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</si>
  <si>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</si>
  <si>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</si>
  <si>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</si>
  <si>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</si>
  <si>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</si>
  <si>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</si>
  <si>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</si>
  <si>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</si>
  <si>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</si>
  <si>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</si>
  <si>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</si>
  <si>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</si>
  <si>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</si>
  <si>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</si>
  <si>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</si>
  <si>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</si>
  <si>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</si>
  <si>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</si>
  <si>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</si>
  <si>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</si>
  <si>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</si>
  <si>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</si>
  <si>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</si>
  <si>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</si>
  <si>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</si>
  <si>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</si>
  <si>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</si>
  <si>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</si>
  <si>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</si>
  <si>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</si>
  <si>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</si>
  <si>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</si>
  <si>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</si>
  <si>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</si>
  <si>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</si>
  <si>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</si>
  <si>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</si>
  <si>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</si>
  <si>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</si>
  <si>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</si>
  <si>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</si>
  <si>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</si>
  <si>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</si>
  <si>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</si>
  <si>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</si>
  <si>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</si>
  <si>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</si>
  <si>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</si>
  <si>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</si>
  <si>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</si>
  <si>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</si>
  <si>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</si>
  <si>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</si>
  <si>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</si>
  <si>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</si>
  <si>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</si>
  <si>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</si>
  <si>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</si>
  <si>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</si>
  <si>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</si>
  <si>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</si>
  <si>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</si>
  <si>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</si>
  <si>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</si>
  <si>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</si>
  <si>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</si>
  <si>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</si>
  <si>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</si>
  <si>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</si>
  <si>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</si>
  <si>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</si>
  <si>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</si>
  <si>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</si>
  <si>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</si>
  <si>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</si>
  <si>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</si>
  <si>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</si>
  <si>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</si>
  <si>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</si>
  <si>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</si>
  <si>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</si>
  <si>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</si>
  <si>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</si>
  <si>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</si>
  <si>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</si>
  <si>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</si>
  <si>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</si>
  <si>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</si>
  <si>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</si>
  <si>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</si>
  <si>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</si>
  <si>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</si>
  <si>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</si>
  <si>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</si>
  <si>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</si>
  <si>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</si>
  <si>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</si>
  <si>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</si>
  <si>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</si>
  <si>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</si>
  <si>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</si>
  <si>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</si>
  <si>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</si>
  <si>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</si>
  <si>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</si>
  <si>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</si>
  <si>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</si>
  <si>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</si>
  <si>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</si>
  <si>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</si>
  <si>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</si>
  <si>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</si>
  <si>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</si>
  <si>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</si>
  <si>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</si>
  <si>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</si>
  <si>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</si>
  <si>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</si>
  <si>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</si>
  <si>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</si>
  <si>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</si>
  <si>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</si>
  <si>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</si>
  <si>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</si>
  <si>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</si>
  <si>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</si>
  <si>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</si>
  <si>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</si>
  <si>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</si>
  <si>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</si>
  <si>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</si>
  <si>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</si>
  <si>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</si>
  <si>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</si>
  <si>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</si>
  <si>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</si>
  <si>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</si>
  <si>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</si>
  <si>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</si>
  <si>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</si>
  <si>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</si>
  <si>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</si>
  <si>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</si>
  <si>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</si>
  <si>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</si>
  <si>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</si>
  <si>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</si>
  <si>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</si>
  <si>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</si>
  <si>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</si>
  <si>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</si>
  <si>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</si>
  <si>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</si>
  <si>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</si>
  <si>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</si>
  <si>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</si>
  <si>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</si>
  <si>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</si>
  <si>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</si>
  <si>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</si>
  <si>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</si>
  <si>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</si>
  <si>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</si>
  <si>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</si>
  <si>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</si>
  <si>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</si>
  <si>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</si>
  <si>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</si>
  <si>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</si>
  <si>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</si>
  <si>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</si>
  <si>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</si>
  <si>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</si>
  <si>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</si>
  <si>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</si>
  <si>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</si>
  <si>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</si>
  <si>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</si>
  <si>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</si>
  <si>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</si>
  <si>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</si>
  <si>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</si>
  <si>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</si>
  <si>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</si>
  <si>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</si>
  <si>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</si>
  <si>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</si>
  <si>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</si>
  <si>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</si>
  <si>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</si>
  <si>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</si>
  <si>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</si>
  <si>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</si>
  <si>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</si>
  <si>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</si>
  <si>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</si>
  <si>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</si>
  <si>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</si>
  <si>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</si>
  <si>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</si>
  <si>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</si>
  <si>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</si>
  <si>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</si>
  <si>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</si>
  <si>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</si>
  <si>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</si>
  <si>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</si>
  <si>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</si>
  <si>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</si>
  <si>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</si>
  <si>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</si>
  <si>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</si>
  <si>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</si>
  <si>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</si>
  <si>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</si>
  <si>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</si>
  <si>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</si>
  <si>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</si>
  <si>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</si>
  <si>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</si>
  <si>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</si>
  <si>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</si>
  <si>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</si>
  <si>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</si>
  <si>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</si>
  <si>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</si>
  <si>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</si>
  <si>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</si>
  <si>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</si>
  <si>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</si>
  <si>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</si>
  <si>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</si>
  <si>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</si>
  <si>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</si>
  <si>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</si>
  <si>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</si>
  <si>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</si>
  <si>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</si>
  <si>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</si>
  <si>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</si>
  <si>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</si>
  <si>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</si>
  <si>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</si>
  <si>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</si>
  <si>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</si>
  <si>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</si>
  <si>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</si>
  <si>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</si>
  <si>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</si>
  <si>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</si>
  <si>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</si>
  <si>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</si>
  <si>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</si>
  <si>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</si>
  <si>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</si>
  <si>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</si>
  <si>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</si>
  <si>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</si>
  <si>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</si>
  <si>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</si>
  <si>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</si>
  <si>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</si>
  <si>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</si>
  <si>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</si>
  <si>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</si>
  <si>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</si>
  <si>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</si>
  <si>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</si>
  <si>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</si>
  <si>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</si>
  <si>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</si>
  <si>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</si>
  <si>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</si>
  <si>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</si>
  <si>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</si>
  <si>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</si>
  <si>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</si>
  <si>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</si>
  <si>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</si>
  <si>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</si>
  <si>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</si>
  <si>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</si>
  <si>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</si>
  <si>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</si>
  <si>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</si>
  <si>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</si>
  <si>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</si>
  <si>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</si>
  <si>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</si>
  <si>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</si>
  <si>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</si>
  <si>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</si>
  <si>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</si>
  <si>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</si>
  <si>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</si>
  <si>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</si>
  <si>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</si>
  <si>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</si>
  <si>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</si>
  <si>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</si>
  <si>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</si>
  <si>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</si>
  <si>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</si>
  <si>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</si>
  <si>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</si>
  <si>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</si>
  <si>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</si>
  <si>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</si>
  <si>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</si>
  <si>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</si>
  <si>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</si>
  <si>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</si>
  <si>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</si>
  <si>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</si>
  <si>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</si>
  <si>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</si>
  <si>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</si>
  <si>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</si>
  <si>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</si>
  <si>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</si>
  <si>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</si>
  <si>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</si>
  <si>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</si>
  <si>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</si>
  <si>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</si>
  <si>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</si>
  <si>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</si>
  <si>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</si>
  <si>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</si>
  <si>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</si>
  <si>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</si>
  <si>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</si>
  <si>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</si>
  <si>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</si>
  <si>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</si>
  <si>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</si>
  <si>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</si>
  <si>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</si>
  <si>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</si>
  <si>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</si>
  <si>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</si>
  <si>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</si>
  <si>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</si>
  <si>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</si>
  <si>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</si>
  <si>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</si>
  <si>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</si>
  <si>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</si>
  <si>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</si>
  <si>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</si>
  <si>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</si>
  <si>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</si>
  <si>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</si>
  <si>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</si>
  <si>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</si>
  <si>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</si>
  <si>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</si>
  <si>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</si>
  <si>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</si>
  <si>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</si>
  <si>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</si>
  <si>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</si>
  <si>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</si>
  <si>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</si>
  <si>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</si>
  <si>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</si>
  <si>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</si>
  <si>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</si>
  <si>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</si>
  <si>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</si>
  <si>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</si>
  <si>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</si>
  <si>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</si>
  <si>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</si>
  <si>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</si>
  <si>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</si>
  <si>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</si>
  <si>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</si>
  <si>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</si>
  <si>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</si>
  <si>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</si>
  <si>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</si>
  <si>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</si>
  <si>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</si>
  <si>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</si>
  <si>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</si>
  <si>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</si>
  <si>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</si>
  <si>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</si>
  <si>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</si>
  <si>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</si>
  <si>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</si>
  <si>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</si>
  <si>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</si>
  <si>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</si>
  <si>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</si>
  <si>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</si>
  <si>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</si>
  <si>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</si>
  <si>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</si>
  <si>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</si>
  <si>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</si>
  <si>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</si>
  <si>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</si>
  <si>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</si>
  <si>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</si>
  <si>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</si>
  <si>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</si>
  <si>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</si>
  <si>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</si>
  <si>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</si>
  <si>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</si>
  <si>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</si>
  <si>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</si>
  <si>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</si>
  <si>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</si>
  <si>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</si>
  <si>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</si>
  <si>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</si>
  <si>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</si>
  <si>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</si>
  <si>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</si>
  <si>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</si>
  <si>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</si>
  <si>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</si>
  <si>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</si>
  <si>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</si>
  <si>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</si>
  <si>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</si>
  <si>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</si>
  <si>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</si>
  <si>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</si>
  <si>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</si>
  <si>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</si>
  <si>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</si>
  <si>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</si>
  <si>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</si>
  <si>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</si>
  <si>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</si>
  <si>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</si>
  <si>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</si>
  <si>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</si>
  <si>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</si>
  <si>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</si>
  <si>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</si>
  <si>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</si>
  <si>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</si>
  <si>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</si>
  <si>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</si>
  <si>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</si>
  <si>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</si>
  <si>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</si>
  <si>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</si>
  <si>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</si>
  <si>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</si>
  <si>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</si>
  <si>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</si>
  <si>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</si>
  <si>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</si>
  <si>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</si>
  <si>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</si>
  <si>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</si>
  <si>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</si>
  <si>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</si>
  <si>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</si>
  <si>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</si>
  <si>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</si>
  <si>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</si>
  <si>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</si>
  <si>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</si>
  <si>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</si>
  <si>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</si>
  <si>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</si>
  <si>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</si>
  <si>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</si>
  <si>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</si>
  <si>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</si>
  <si>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</si>
  <si>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</si>
  <si>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</si>
  <si>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</si>
  <si>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</si>
  <si>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</si>
  <si>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</si>
  <si>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</si>
  <si>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</si>
  <si>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</si>
  <si>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</si>
  <si>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</si>
  <si>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</si>
  <si>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</si>
  <si>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</si>
  <si>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</si>
  <si>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</si>
  <si>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</si>
  <si>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</si>
  <si>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</si>
  <si>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</si>
  <si>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</si>
  <si>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</si>
  <si>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</si>
  <si>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</si>
  <si>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</si>
  <si>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</si>
  <si>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</si>
  <si>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</si>
  <si>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</si>
  <si>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</si>
  <si>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</si>
  <si>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</si>
  <si>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</si>
  <si>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</si>
  <si>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</si>
  <si>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</si>
  <si>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</si>
  <si>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</si>
  <si>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</si>
  <si>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</si>
  <si>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</si>
  <si>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</si>
  <si>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</si>
  <si>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</si>
  <si>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</si>
  <si>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</si>
  <si>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</si>
  <si>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</si>
  <si>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</si>
  <si>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</si>
  <si>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</si>
  <si>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</si>
  <si>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</si>
  <si>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</si>
  <si>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</si>
  <si>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</si>
  <si>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</si>
  <si>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</si>
  <si>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</si>
  <si>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</si>
  <si>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</si>
  <si>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</si>
  <si>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</si>
  <si>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</si>
  <si>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</si>
  <si>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</si>
  <si>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</si>
  <si>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</si>
  <si>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</si>
  <si>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</si>
  <si>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</si>
  <si>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</si>
  <si>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</si>
  <si>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</si>
  <si>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</si>
  <si>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</si>
  <si>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</si>
  <si>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</si>
  <si>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"Торготерм"АД</t>
  </si>
  <si>
    <t>неконсолидиран</t>
  </si>
  <si>
    <t>Съставител: Евелина Миленска</t>
  </si>
  <si>
    <t>Ръководител:Бойко Недялков</t>
  </si>
  <si>
    <t>Съставител:Евелина Миленска</t>
  </si>
  <si>
    <t>Бойко Недялков</t>
  </si>
  <si>
    <t>Евелина Миленска</t>
  </si>
  <si>
    <t xml:space="preserve"> Ръководител:Бойко Недялков</t>
  </si>
  <si>
    <t xml:space="preserve">                                    Съставител: Евелина Миленска                         </t>
  </si>
  <si>
    <t>Ръководител: Бойко Недялков</t>
  </si>
  <si>
    <t xml:space="preserve">А. ВЗЕМАНИЯ          от Франция                                  </t>
  </si>
  <si>
    <t xml:space="preserve">А. ВЗЕМАНИЯ          от Испания                         </t>
  </si>
  <si>
    <t>Б. ЗАДЪЛЖЕНИЯ към Германия</t>
  </si>
  <si>
    <t>Б. ЗАДЪЛЖЕНИЯ към Франция</t>
  </si>
  <si>
    <t xml:space="preserve">А. ВЗЕМАНИЯ              Германия           </t>
  </si>
  <si>
    <t xml:space="preserve">А. ВЗЕМАНИЯ           Румъния           </t>
  </si>
  <si>
    <t>Б. ЗАДЪЛЖЕНИЯ към Румъния</t>
  </si>
  <si>
    <t>01.01.2015 г.-31.12.2015 г.</t>
  </si>
  <si>
    <t>Дата на съставяне: 10.03.2016 г.</t>
  </si>
  <si>
    <t xml:space="preserve">Дата на съставяне:       10.03.2016 г.                                </t>
  </si>
  <si>
    <t xml:space="preserve">Дата  на съставяне:10.03.2016 г.                                                                                                                         </t>
  </si>
  <si>
    <t xml:space="preserve">Дата на съставяне: 10.03.2016 г.                      </t>
  </si>
  <si>
    <t>Дата на съставяне:10.03.2016 г.</t>
  </si>
  <si>
    <t>Дата на съставяне:10.03.2016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</si>
</sst>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horizontal="left"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25" fillId="37" borderId="38" xfId="63" applyFont="1" applyFill="1" applyBorder="1" applyAlignment="1" applyProtection="1">
      <alignment vertical="top" wrapText="1"/>
      <protection/>
    </xf>
    <xf numFmtId="49" fontId="25" fillId="37" borderId="36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" fontId="13" fillId="35" borderId="10" xfId="61" applyNumberFormat="1" applyFont="1" applyFill="1" applyBorder="1" applyAlignment="1" applyProtection="1">
      <alignment vertical="center" wrapText="1"/>
      <protection locked="0"/>
    </xf>
    <xf numFmtId="1" fontId="10" fillId="0" borderId="0" xfId="63" applyNumberFormat="1" applyFont="1" applyAlignment="1" applyProtection="1">
      <alignment vertical="top" wrapText="1"/>
      <protection locked="0"/>
    </xf>
    <xf numFmtId="1" fontId="13" fillId="34" borderId="10" xfId="65" applyNumberFormat="1" applyFont="1" applyFill="1" applyBorder="1" applyProtection="1">
      <alignment/>
      <protection locked="0"/>
    </xf>
    <xf numFmtId="177" fontId="27" fillId="35" borderId="10" xfId="64" applyNumberFormat="1" applyFont="1" applyFill="1" applyBorder="1" applyAlignment="1" applyProtection="1">
      <alignment wrapText="1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4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1" fontId="12" fillId="0" borderId="0" xfId="59" applyNumberFormat="1" applyFont="1" applyAlignment="1" applyProtection="1">
      <alignment horizontal="center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26" sqref="A26"/>
    </sheetView>
  </sheetViews>
  <sheetFormatPr defaultColWidth="9.375" defaultRowHeight="12.75"/>
  <cols>
    <col min="1" max="1" width="43.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625" style="223" customWidth="1"/>
    <col min="6" max="6" width="9.50390625" style="228" customWidth="1"/>
    <col min="7" max="7" width="12.625" style="223" customWidth="1"/>
    <col min="8" max="8" width="18.625" style="229" customWidth="1"/>
    <col min="9" max="9" width="3.50390625" style="203" customWidth="1"/>
    <col min="10" max="16384" width="9.375" style="203" customWidth="1"/>
  </cols>
  <sheetData>
    <row r="1" spans="1:8" ht="13.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3.5">
      <c r="A2" s="271"/>
      <c r="B2" s="271"/>
      <c r="C2" s="272"/>
      <c r="D2" s="272"/>
      <c r="E2" s="272"/>
      <c r="F2" s="224"/>
      <c r="G2" s="225"/>
      <c r="H2" s="226"/>
    </row>
    <row r="3" spans="1:8" ht="13.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819363984</v>
      </c>
    </row>
    <row r="4" spans="1:8" ht="27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3.5">
      <c r="A5" s="204" t="s">
        <v>5</v>
      </c>
      <c r="B5" s="268"/>
      <c r="C5" s="268"/>
      <c r="D5" s="268"/>
      <c r="E5" s="596" t="s">
        <v>873</v>
      </c>
      <c r="F5" s="224"/>
      <c r="G5" s="225"/>
      <c r="H5" s="275" t="s">
        <v>6</v>
      </c>
    </row>
    <row r="6" spans="1:8" ht="14.25" thickBot="1">
      <c r="A6" s="204"/>
      <c r="B6" s="204"/>
      <c r="C6" s="274"/>
      <c r="D6" s="275"/>
      <c r="E6" s="275"/>
      <c r="F6" s="224"/>
      <c r="G6" s="225"/>
      <c r="H6" s="275"/>
    </row>
    <row r="7" spans="1:8" ht="27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3.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3.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3.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3.5">
      <c r="A11" s="291" t="s">
        <v>20</v>
      </c>
      <c r="B11" s="297" t="s">
        <v>21</v>
      </c>
      <c r="C11" s="205">
        <v>330</v>
      </c>
      <c r="D11" s="205">
        <v>330</v>
      </c>
      <c r="E11" s="293" t="s">
        <v>22</v>
      </c>
      <c r="F11" s="298" t="s">
        <v>23</v>
      </c>
      <c r="G11" s="206">
        <v>3000</v>
      </c>
      <c r="H11" s="206">
        <v>3000</v>
      </c>
    </row>
    <row r="12" spans="1:8" ht="13.5">
      <c r="A12" s="291" t="s">
        <v>24</v>
      </c>
      <c r="B12" s="297" t="s">
        <v>25</v>
      </c>
      <c r="C12" s="205">
        <v>1220</v>
      </c>
      <c r="D12" s="205">
        <v>1253</v>
      </c>
      <c r="E12" s="293" t="s">
        <v>26</v>
      </c>
      <c r="F12" s="298" t="s">
        <v>27</v>
      </c>
      <c r="G12" s="207">
        <v>3000</v>
      </c>
      <c r="H12" s="207">
        <v>3000</v>
      </c>
    </row>
    <row r="13" spans="1:8" ht="13.5">
      <c r="A13" s="291" t="s">
        <v>28</v>
      </c>
      <c r="B13" s="297" t="s">
        <v>29</v>
      </c>
      <c r="C13" s="205">
        <v>3759</v>
      </c>
      <c r="D13" s="205">
        <v>3386</v>
      </c>
      <c r="E13" s="293" t="s">
        <v>30</v>
      </c>
      <c r="F13" s="298" t="s">
        <v>31</v>
      </c>
      <c r="G13" s="207"/>
      <c r="H13" s="207"/>
    </row>
    <row r="14" spans="1:8" ht="13.5">
      <c r="A14" s="291" t="s">
        <v>32</v>
      </c>
      <c r="B14" s="297" t="s">
        <v>33</v>
      </c>
      <c r="C14" s="205">
        <v>114</v>
      </c>
      <c r="D14" s="205">
        <v>126</v>
      </c>
      <c r="E14" s="299" t="s">
        <v>34</v>
      </c>
      <c r="F14" s="298" t="s">
        <v>35</v>
      </c>
      <c r="G14" s="391"/>
      <c r="H14" s="391"/>
    </row>
    <row r="15" spans="1:8" ht="13.5">
      <c r="A15" s="291" t="s">
        <v>36</v>
      </c>
      <c r="B15" s="297" t="s">
        <v>37</v>
      </c>
      <c r="C15" s="205">
        <v>52</v>
      </c>
      <c r="D15" s="205">
        <v>93</v>
      </c>
      <c r="E15" s="299" t="s">
        <v>38</v>
      </c>
      <c r="F15" s="298" t="s">
        <v>39</v>
      </c>
      <c r="G15" s="391"/>
      <c r="H15" s="391"/>
    </row>
    <row r="16" spans="1:8" ht="13.5">
      <c r="A16" s="291" t="s">
        <v>40</v>
      </c>
      <c r="B16" s="300" t="s">
        <v>41</v>
      </c>
      <c r="C16" s="205">
        <f>109+23</f>
        <v>132</v>
      </c>
      <c r="D16" s="205">
        <f>63+23</f>
        <v>86</v>
      </c>
      <c r="E16" s="299" t="s">
        <v>42</v>
      </c>
      <c r="F16" s="298" t="s">
        <v>43</v>
      </c>
      <c r="G16" s="391"/>
      <c r="H16" s="391"/>
    </row>
    <row r="17" spans="1:18" ht="26.25">
      <c r="A17" s="291" t="s">
        <v>44</v>
      </c>
      <c r="B17" s="297" t="s">
        <v>45</v>
      </c>
      <c r="C17" s="205">
        <v>37</v>
      </c>
      <c r="D17" s="205">
        <v>22</v>
      </c>
      <c r="E17" s="299" t="s">
        <v>46</v>
      </c>
      <c r="F17" s="301" t="s">
        <v>47</v>
      </c>
      <c r="G17" s="208">
        <f>G11+G14+G15+G16</f>
        <v>3000</v>
      </c>
      <c r="H17" s="208">
        <f>H11+H14+H15+H16</f>
        <v>3000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4.2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3.5">
      <c r="A19" s="291" t="s">
        <v>51</v>
      </c>
      <c r="B19" s="305" t="s">
        <v>52</v>
      </c>
      <c r="C19" s="209">
        <f>SUM(C11:C18)</f>
        <v>5644</v>
      </c>
      <c r="D19" s="209">
        <f>SUM(D11:D18)</f>
        <v>5296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3.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1345</v>
      </c>
      <c r="H20" s="212">
        <v>1346</v>
      </c>
    </row>
    <row r="21" spans="1:18" ht="13.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300</v>
      </c>
      <c r="H21" s="210">
        <f>SUM(H22:H24)</f>
        <v>300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3.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300</v>
      </c>
      <c r="H22" s="206">
        <v>300</v>
      </c>
    </row>
    <row r="23" spans="1:13" ht="13.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3.5">
      <c r="A24" s="291" t="s">
        <v>70</v>
      </c>
      <c r="B24" s="297" t="s">
        <v>71</v>
      </c>
      <c r="C24" s="205">
        <v>4</v>
      </c>
      <c r="D24" s="205">
        <v>7</v>
      </c>
      <c r="E24" s="293" t="s">
        <v>72</v>
      </c>
      <c r="F24" s="298" t="s">
        <v>73</v>
      </c>
      <c r="G24" s="206"/>
      <c r="H24" s="206"/>
    </row>
    <row r="25" spans="1:18" ht="13.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1645</v>
      </c>
      <c r="H25" s="208">
        <f>H19+H20+H21</f>
        <v>1646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4.2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3.5">
      <c r="A27" s="291" t="s">
        <v>81</v>
      </c>
      <c r="B27" s="306" t="s">
        <v>82</v>
      </c>
      <c r="C27" s="209">
        <f>SUM(C23:C26)</f>
        <v>4</v>
      </c>
      <c r="D27" s="209">
        <f>SUM(D23:D26)</f>
        <v>7</v>
      </c>
      <c r="E27" s="309" t="s">
        <v>83</v>
      </c>
      <c r="F27" s="298" t="s">
        <v>84</v>
      </c>
      <c r="G27" s="208">
        <f>SUM(G28:G30)</f>
        <v>859</v>
      </c>
      <c r="H27" s="208">
        <f>SUM(H28:H30)</f>
        <v>700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3.5">
      <c r="A28" s="291"/>
      <c r="B28" s="297"/>
      <c r="C28" s="308"/>
      <c r="D28" s="209"/>
      <c r="E28" s="293" t="s">
        <v>85</v>
      </c>
      <c r="F28" s="298" t="s">
        <v>86</v>
      </c>
      <c r="G28" s="206">
        <v>1300</v>
      </c>
      <c r="H28" s="206">
        <v>1141</v>
      </c>
    </row>
    <row r="29" spans="1:13" ht="13.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-441</v>
      </c>
      <c r="H29" s="391">
        <v>-441</v>
      </c>
      <c r="M29" s="211"/>
    </row>
    <row r="30" spans="1:8" ht="13.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3.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34</v>
      </c>
      <c r="H31" s="206">
        <v>208</v>
      </c>
      <c r="M31" s="211"/>
    </row>
    <row r="32" spans="1:15" ht="13.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3.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893</v>
      </c>
      <c r="H33" s="208">
        <f>H27+H31+H32</f>
        <v>908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3.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3.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3.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5538</v>
      </c>
      <c r="H36" s="208">
        <f>H25+H17+H33</f>
        <v>5554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3.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3.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3.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3.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3.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3.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3.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3.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f>1306+775-319</f>
        <v>1762</v>
      </c>
      <c r="H44" s="206">
        <f>1053-288</f>
        <v>765</v>
      </c>
    </row>
    <row r="45" spans="1:15" ht="13.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3.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3.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3.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729</v>
      </c>
      <c r="H48" s="206">
        <v>198</v>
      </c>
    </row>
    <row r="49" spans="1:18" ht="13.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2491</v>
      </c>
      <c r="H49" s="208">
        <f>SUM(H43:H48)</f>
        <v>963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3.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3.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3.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3.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163</v>
      </c>
      <c r="H53" s="206">
        <v>148</v>
      </c>
    </row>
    <row r="54" spans="1:8" ht="13.5">
      <c r="A54" s="291" t="s">
        <v>166</v>
      </c>
      <c r="B54" s="305" t="s">
        <v>167</v>
      </c>
      <c r="C54" s="205">
        <v>59</v>
      </c>
      <c r="D54" s="205">
        <v>50</v>
      </c>
      <c r="E54" s="293" t="s">
        <v>168</v>
      </c>
      <c r="F54" s="301" t="s">
        <v>169</v>
      </c>
      <c r="G54" s="206">
        <v>1377</v>
      </c>
      <c r="H54" s="206">
        <v>1592</v>
      </c>
    </row>
    <row r="55" spans="1:18" ht="26.25">
      <c r="A55" s="325" t="s">
        <v>170</v>
      </c>
      <c r="B55" s="326" t="s">
        <v>171</v>
      </c>
      <c r="C55" s="209">
        <f>C19+C20+C21+C27+C32+C45+C51+C53+C54</f>
        <v>5707</v>
      </c>
      <c r="D55" s="209">
        <f>D19+D20+D21+D27+D32+D45+D51+D53+D54</f>
        <v>5353</v>
      </c>
      <c r="E55" s="293" t="s">
        <v>172</v>
      </c>
      <c r="F55" s="317" t="s">
        <v>173</v>
      </c>
      <c r="G55" s="208">
        <f>G49+G51+G52+G53+G54</f>
        <v>4031</v>
      </c>
      <c r="H55" s="208">
        <f>H49+H51+H52+H53+H54</f>
        <v>2703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3.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3.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3.5">
      <c r="A58" s="291" t="s">
        <v>177</v>
      </c>
      <c r="B58" s="297" t="s">
        <v>178</v>
      </c>
      <c r="C58" s="205">
        <v>1289</v>
      </c>
      <c r="D58" s="205">
        <v>1323</v>
      </c>
      <c r="E58" s="293" t="s">
        <v>127</v>
      </c>
      <c r="F58" s="328"/>
      <c r="G58" s="308"/>
      <c r="H58" s="208"/>
    </row>
    <row r="59" spans="1:13" ht="13.5">
      <c r="A59" s="291" t="s">
        <v>179</v>
      </c>
      <c r="B59" s="297" t="s">
        <v>180</v>
      </c>
      <c r="C59" s="205">
        <v>506</v>
      </c>
      <c r="D59" s="205">
        <v>340</v>
      </c>
      <c r="E59" s="307" t="s">
        <v>181</v>
      </c>
      <c r="F59" s="298" t="s">
        <v>182</v>
      </c>
      <c r="G59" s="206">
        <v>5</v>
      </c>
      <c r="H59" s="206">
        <f>841-98</f>
        <v>743</v>
      </c>
      <c r="M59" s="211"/>
    </row>
    <row r="60" spans="1:8" ht="13.5">
      <c r="A60" s="291" t="s">
        <v>183</v>
      </c>
      <c r="B60" s="297" t="s">
        <v>184</v>
      </c>
      <c r="C60" s="205">
        <v>578</v>
      </c>
      <c r="D60" s="205">
        <v>593</v>
      </c>
      <c r="E60" s="293" t="s">
        <v>185</v>
      </c>
      <c r="F60" s="298" t="s">
        <v>186</v>
      </c>
      <c r="G60" s="206">
        <v>319</v>
      </c>
      <c r="H60" s="206">
        <v>288</v>
      </c>
    </row>
    <row r="61" spans="1:18" ht="13.5">
      <c r="A61" s="291" t="s">
        <v>187</v>
      </c>
      <c r="B61" s="300" t="s">
        <v>188</v>
      </c>
      <c r="C61" s="205">
        <v>654</v>
      </c>
      <c r="D61" s="205">
        <v>526</v>
      </c>
      <c r="E61" s="299" t="s">
        <v>189</v>
      </c>
      <c r="F61" s="328" t="s">
        <v>190</v>
      </c>
      <c r="G61" s="208">
        <f>SUM(G62:G68)</f>
        <v>3372</v>
      </c>
      <c r="H61" s="208">
        <f>SUM(H62:H68)</f>
        <v>3116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3.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16</v>
      </c>
      <c r="H62" s="206">
        <v>7</v>
      </c>
    </row>
    <row r="63" spans="1:13" ht="13.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>
        <f>98</f>
        <v>98</v>
      </c>
      <c r="M63" s="211"/>
    </row>
    <row r="64" spans="1:15" ht="13.5">
      <c r="A64" s="291" t="s">
        <v>51</v>
      </c>
      <c r="B64" s="305" t="s">
        <v>199</v>
      </c>
      <c r="C64" s="209">
        <f>SUM(C58:C63)</f>
        <v>3027</v>
      </c>
      <c r="D64" s="209">
        <f>SUM(D58:D63)</f>
        <v>2782</v>
      </c>
      <c r="E64" s="293" t="s">
        <v>200</v>
      </c>
      <c r="F64" s="298" t="s">
        <v>201</v>
      </c>
      <c r="G64" s="206">
        <f>2730+414-16</f>
        <v>3128</v>
      </c>
      <c r="H64" s="206">
        <f>2823-7</f>
        <v>2816</v>
      </c>
      <c r="I64" s="346"/>
      <c r="J64" s="346"/>
      <c r="K64" s="346"/>
      <c r="L64" s="346"/>
      <c r="M64" s="346"/>
      <c r="N64" s="346"/>
      <c r="O64" s="346"/>
    </row>
    <row r="65" spans="1:8" ht="13.5">
      <c r="A65" s="291"/>
      <c r="B65" s="305"/>
      <c r="C65" s="308"/>
      <c r="D65" s="209"/>
      <c r="E65" s="293" t="s">
        <v>202</v>
      </c>
      <c r="F65" s="298" t="s">
        <v>203</v>
      </c>
      <c r="G65" s="206">
        <v>15</v>
      </c>
      <c r="H65" s="206">
        <v>5</v>
      </c>
    </row>
    <row r="66" spans="1:8" ht="13.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132</v>
      </c>
      <c r="H66" s="206">
        <v>124</v>
      </c>
    </row>
    <row r="67" spans="1:8" ht="13.5">
      <c r="A67" s="291" t="s">
        <v>207</v>
      </c>
      <c r="B67" s="297" t="s">
        <v>208</v>
      </c>
      <c r="C67" s="205">
        <f>169+1132</f>
        <v>1301</v>
      </c>
      <c r="D67" s="205">
        <f>169+1163</f>
        <v>1332</v>
      </c>
      <c r="E67" s="293" t="s">
        <v>209</v>
      </c>
      <c r="F67" s="298" t="s">
        <v>210</v>
      </c>
      <c r="G67" s="206">
        <v>53</v>
      </c>
      <c r="H67" s="206">
        <v>46</v>
      </c>
    </row>
    <row r="68" spans="1:8" ht="13.5">
      <c r="A68" s="291" t="s">
        <v>211</v>
      </c>
      <c r="B68" s="297" t="s">
        <v>212</v>
      </c>
      <c r="C68" s="205">
        <f>2924-169+19</f>
        <v>2774</v>
      </c>
      <c r="D68" s="205">
        <f>2552-169-4</f>
        <v>2379</v>
      </c>
      <c r="E68" s="293" t="s">
        <v>213</v>
      </c>
      <c r="F68" s="298" t="s">
        <v>214</v>
      </c>
      <c r="G68" s="206">
        <v>28</v>
      </c>
      <c r="H68" s="206">
        <v>20</v>
      </c>
    </row>
    <row r="69" spans="1:8" ht="13.5">
      <c r="A69" s="291" t="s">
        <v>215</v>
      </c>
      <c r="B69" s="297" t="s">
        <v>216</v>
      </c>
      <c r="C69" s="205">
        <v>11</v>
      </c>
      <c r="D69" s="205">
        <f>4+15</f>
        <v>19</v>
      </c>
      <c r="E69" s="307" t="s">
        <v>78</v>
      </c>
      <c r="F69" s="298" t="s">
        <v>217</v>
      </c>
      <c r="G69" s="206">
        <f>6+10+7</f>
        <v>23</v>
      </c>
      <c r="H69" s="206">
        <f>19+6+8+6+6</f>
        <v>45</v>
      </c>
    </row>
    <row r="70" spans="1:8" ht="13.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3.5">
      <c r="A71" s="291" t="s">
        <v>222</v>
      </c>
      <c r="B71" s="297" t="s">
        <v>223</v>
      </c>
      <c r="C71" s="205">
        <v>89</v>
      </c>
      <c r="D71" s="205">
        <v>89</v>
      </c>
      <c r="E71" s="309" t="s">
        <v>46</v>
      </c>
      <c r="F71" s="329" t="s">
        <v>224</v>
      </c>
      <c r="G71" s="215">
        <f>G59+G60+G61+G69+G70</f>
        <v>3719</v>
      </c>
      <c r="H71" s="215">
        <f>H59+H60+H61+H69+H70</f>
        <v>4192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3.5">
      <c r="A72" s="291" t="s">
        <v>225</v>
      </c>
      <c r="B72" s="297" t="s">
        <v>226</v>
      </c>
      <c r="C72" s="205">
        <v>160</v>
      </c>
      <c r="D72" s="205">
        <v>132</v>
      </c>
      <c r="E72" s="299"/>
      <c r="F72" s="330"/>
      <c r="G72" s="331"/>
      <c r="H72" s="332"/>
    </row>
    <row r="73" spans="1:8" ht="13.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3.5">
      <c r="A74" s="291" t="s">
        <v>229</v>
      </c>
      <c r="B74" s="297" t="s">
        <v>230</v>
      </c>
      <c r="C74" s="205">
        <f>7+7+13</f>
        <v>27</v>
      </c>
      <c r="D74" s="205">
        <f>7+1+7+28</f>
        <v>43</v>
      </c>
      <c r="E74" s="293" t="s">
        <v>231</v>
      </c>
      <c r="F74" s="336" t="s">
        <v>232</v>
      </c>
      <c r="G74" s="206"/>
      <c r="H74" s="206"/>
    </row>
    <row r="75" spans="1:15" ht="13.5">
      <c r="A75" s="291" t="s">
        <v>76</v>
      </c>
      <c r="B75" s="305" t="s">
        <v>233</v>
      </c>
      <c r="C75" s="209">
        <f>SUM(C67:C74)</f>
        <v>4362</v>
      </c>
      <c r="D75" s="209">
        <f>SUM(D67:D74)</f>
        <v>3994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3.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3.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3.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3.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3719</v>
      </c>
      <c r="H79" s="216">
        <f>H71+H74+H75+H76</f>
        <v>4192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3.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3.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3.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3.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3.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3.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3.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3.5">
      <c r="A87" s="291" t="s">
        <v>254</v>
      </c>
      <c r="B87" s="297" t="s">
        <v>255</v>
      </c>
      <c r="C87" s="205">
        <v>8</v>
      </c>
      <c r="D87" s="205">
        <v>10</v>
      </c>
      <c r="E87" s="217"/>
      <c r="F87" s="341"/>
      <c r="G87" s="341"/>
      <c r="H87" s="342"/>
      <c r="M87" s="211"/>
    </row>
    <row r="88" spans="1:8" ht="13.5">
      <c r="A88" s="291" t="s">
        <v>256</v>
      </c>
      <c r="B88" s="297" t="s">
        <v>257</v>
      </c>
      <c r="C88" s="205">
        <f>16+153</f>
        <v>169</v>
      </c>
      <c r="D88" s="205">
        <f>2+88</f>
        <v>90</v>
      </c>
      <c r="E88" s="319"/>
      <c r="F88" s="341"/>
      <c r="G88" s="341"/>
      <c r="H88" s="342"/>
    </row>
    <row r="89" spans="1:13" ht="13.5">
      <c r="A89" s="291" t="s">
        <v>258</v>
      </c>
      <c r="B89" s="297" t="s">
        <v>259</v>
      </c>
      <c r="C89" s="205">
        <v>15</v>
      </c>
      <c r="D89" s="205">
        <v>220</v>
      </c>
      <c r="E89" s="319"/>
      <c r="F89" s="341"/>
      <c r="G89" s="341"/>
      <c r="H89" s="342"/>
      <c r="M89" s="211"/>
    </row>
    <row r="90" spans="1:8" ht="13.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3.5">
      <c r="A91" s="291" t="s">
        <v>262</v>
      </c>
      <c r="B91" s="305" t="s">
        <v>263</v>
      </c>
      <c r="C91" s="209">
        <f>SUM(C87:C90)</f>
        <v>192</v>
      </c>
      <c r="D91" s="209">
        <f>SUM(D87:D90)</f>
        <v>320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3.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3.5">
      <c r="A93" s="291" t="s">
        <v>266</v>
      </c>
      <c r="B93" s="343" t="s">
        <v>267</v>
      </c>
      <c r="C93" s="209">
        <f>C64+C75+C84+C91+C92</f>
        <v>7581</v>
      </c>
      <c r="D93" s="209">
        <f>D64+D75+D84+D91+D92</f>
        <v>7096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27" thickBot="1">
      <c r="A94" s="557" t="s">
        <v>268</v>
      </c>
      <c r="B94" s="344" t="s">
        <v>269</v>
      </c>
      <c r="C94" s="218">
        <f>C93+C55</f>
        <v>13288</v>
      </c>
      <c r="D94" s="218">
        <f>D93+D55</f>
        <v>12449</v>
      </c>
      <c r="E94" s="558" t="s">
        <v>270</v>
      </c>
      <c r="F94" s="345" t="s">
        <v>271</v>
      </c>
      <c r="G94" s="219">
        <f>G36+G39+G55+G79</f>
        <v>13288</v>
      </c>
      <c r="H94" s="219">
        <f>H36+H39+H55+H79</f>
        <v>12449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3.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3.5">
      <c r="A96" s="538" t="s">
        <v>848</v>
      </c>
      <c r="B96" s="539"/>
      <c r="C96" s="204"/>
      <c r="D96" s="204"/>
      <c r="E96" s="540"/>
      <c r="F96" s="224"/>
      <c r="G96" s="598"/>
      <c r="H96" s="598"/>
      <c r="M96" s="211"/>
    </row>
    <row r="97" spans="1:13" ht="13.5">
      <c r="A97" s="538"/>
      <c r="B97" s="539"/>
      <c r="C97" s="204"/>
      <c r="D97" s="204"/>
      <c r="E97" s="540"/>
      <c r="F97" s="224"/>
      <c r="G97" s="598"/>
      <c r="H97" s="226"/>
      <c r="M97" s="211"/>
    </row>
    <row r="98" spans="1:13" ht="13.5">
      <c r="A98" s="78" t="s">
        <v>874</v>
      </c>
      <c r="B98" s="539"/>
      <c r="C98" s="601" t="s">
        <v>858</v>
      </c>
      <c r="D98" s="601"/>
      <c r="E98" s="601"/>
      <c r="F98" s="224"/>
      <c r="G98" s="598"/>
      <c r="H98" s="226"/>
      <c r="M98" s="211"/>
    </row>
    <row r="99" spans="3:8" ht="13.5">
      <c r="C99" s="78"/>
      <c r="D99" s="1"/>
      <c r="E99" s="78"/>
      <c r="F99" s="224"/>
      <c r="G99" s="225"/>
      <c r="H99" s="226"/>
    </row>
    <row r="100" spans="1:5" ht="13.5">
      <c r="A100" s="227"/>
      <c r="B100" s="227"/>
      <c r="C100" s="601" t="s">
        <v>859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74" r:id="rId1"/>
  <headerFooter alignWithMargins="0">
    <oddHeader>&amp;R&amp;"Times New Roman Cyr,Regular"&amp;9СПРАВКА ПО ОБРАЗЕЦ  № 1</oddHeader>
  </headerFooter>
  <rowBreaks count="3" manualBreakCount="3">
    <brk id="46" max="7" man="1"/>
    <brk id="94" max="255" man="1"/>
    <brk id="9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">
      <selection activeCell="A107" sqref="A107:F107"/>
    </sheetView>
  </sheetViews>
  <sheetFormatPr defaultColWidth="10.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34" t="s">
        <v>607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"Торготерм"АД</v>
      </c>
      <c r="B3" s="635"/>
      <c r="C3" s="353" t="s">
        <v>2</v>
      </c>
      <c r="E3" s="353">
        <f>'справка №1-БАЛАНС'!H3</f>
        <v>819363984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3.5">
      <c r="A4" s="636" t="str">
        <f>"Отчетен период:"&amp;"           "&amp;'справка №1-БАЛАНС'!E5</f>
        <v>Отчетен период:           01.01.2015 г.-31.12.2015 г.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871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2.5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358</v>
      </c>
      <c r="D28" s="153">
        <v>358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358</v>
      </c>
      <c r="D43" s="149">
        <f>D24+D28+D29+D31+D30+D32+D33+D38</f>
        <v>358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358</v>
      </c>
      <c r="D44" s="148">
        <f>D43+D21+D19+D9</f>
        <v>358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872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2.5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18</v>
      </c>
      <c r="D85" s="149">
        <f>SUM(D86:D90)+D94</f>
        <v>18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18</v>
      </c>
      <c r="D87" s="153">
        <v>18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18</v>
      </c>
      <c r="D96" s="149">
        <f>D85+D80+D75+D71+D95</f>
        <v>18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18</v>
      </c>
      <c r="D97" s="149">
        <f>D96+D68+D66</f>
        <v>18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2.5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778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2" t="s">
        <v>878</v>
      </c>
      <c r="B109" s="632"/>
      <c r="C109" s="632" t="s">
        <v>860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1" t="s">
        <v>859</v>
      </c>
      <c r="D111" s="631"/>
      <c r="E111" s="631"/>
      <c r="F111" s="63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/>
  <mergeCells count="7">
    <mergeCell ref="C111:F111"/>
    <mergeCell ref="A1:E1"/>
    <mergeCell ref="A3:B3"/>
    <mergeCell ref="A4:B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8" t="str">
        <f>'справка №1-БАЛАНС'!E3</f>
        <v>"Торготерм"АД</v>
      </c>
      <c r="D4" s="614"/>
      <c r="E4" s="614"/>
      <c r="F4" s="578"/>
      <c r="G4" s="580" t="s">
        <v>2</v>
      </c>
      <c r="H4" s="580"/>
      <c r="I4" s="589">
        <f>'справка №1-БАЛАНС'!H3</f>
        <v>819363984</v>
      </c>
    </row>
    <row r="5" spans="1:9" ht="13.5">
      <c r="A5" s="522" t="s">
        <v>5</v>
      </c>
      <c r="B5" s="579"/>
      <c r="C5" s="608" t="str">
        <f>'справка №1-БАЛАНС'!E5</f>
        <v>01.01.2015 г.-31.12.2015 г.</v>
      </c>
      <c r="D5" s="640"/>
      <c r="E5" s="640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3.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879</v>
      </c>
      <c r="B30" s="639"/>
      <c r="C30" s="639"/>
      <c r="D30" s="568" t="s">
        <v>817</v>
      </c>
      <c r="E30" s="637"/>
      <c r="F30" s="637"/>
      <c r="G30" s="637"/>
      <c r="H30" s="519" t="s">
        <v>779</v>
      </c>
      <c r="I30" s="637"/>
      <c r="J30" s="637"/>
    </row>
    <row r="31" spans="1:10" s="115" customFormat="1" ht="11.25">
      <c r="A31" s="437"/>
      <c r="B31" s="520"/>
      <c r="C31" s="437"/>
      <c r="D31" s="637" t="s">
        <v>862</v>
      </c>
      <c r="E31" s="637"/>
      <c r="F31" s="637"/>
      <c r="G31" s="510"/>
      <c r="H31" s="637" t="s">
        <v>861</v>
      </c>
      <c r="I31" s="637"/>
      <c r="J31" s="638"/>
    </row>
    <row r="32" spans="1:9" s="115" customFormat="1" ht="11.25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1.25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1.25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1.25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1.25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1.25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1.25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1.25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1.25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1.25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1.25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1.25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1.25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1.25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1.25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1.25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1.25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1.25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1.25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1.25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1.25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1.25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1.25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1.25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1.25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1.25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1.25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1.25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1.25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1.25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1.25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1.25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1.25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1.25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1.25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1.25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1.25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1.25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1.25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1.25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1.25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1.25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1.25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1.25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1.25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1.25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1.25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1.25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1.25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1.25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1.25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1.25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1.25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1.25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1.25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1.25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1.25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1.25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1.25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1.25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1.25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1.25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1.25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1.25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1.25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1.25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1.25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1.25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1.25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1.25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1.25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1.25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1.25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1.25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1.25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1.25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1.25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1.25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1.25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1.25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1.25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1.25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1.25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1.25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1.25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1.25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1.25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1.25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1.25">
      <c r="D120" s="168"/>
      <c r="E120" s="168"/>
      <c r="F120" s="168"/>
      <c r="G120" s="168"/>
      <c r="H120" s="168"/>
      <c r="I120" s="168"/>
    </row>
    <row r="121" spans="4:9" ht="11.25">
      <c r="D121" s="168"/>
      <c r="E121" s="168"/>
      <c r="F121" s="168"/>
      <c r="G121" s="168"/>
      <c r="H121" s="168"/>
      <c r="I121" s="168"/>
    </row>
    <row r="122" spans="4:9" ht="11.25">
      <c r="D122" s="168"/>
      <c r="E122" s="168"/>
      <c r="F122" s="168"/>
      <c r="G122" s="168"/>
      <c r="H122" s="168"/>
      <c r="I122" s="168"/>
    </row>
    <row r="123" spans="4:9" ht="11.25">
      <c r="D123" s="168"/>
      <c r="E123" s="168"/>
      <c r="F123" s="168"/>
      <c r="G123" s="168"/>
      <c r="H123" s="168"/>
      <c r="I123" s="168"/>
    </row>
    <row r="124" spans="4:9" ht="11.25">
      <c r="D124" s="168"/>
      <c r="E124" s="168"/>
      <c r="F124" s="168"/>
      <c r="G124" s="168"/>
      <c r="H124" s="168"/>
      <c r="I124" s="168"/>
    </row>
    <row r="125" spans="4:9" ht="11.25">
      <c r="D125" s="168"/>
      <c r="E125" s="168"/>
      <c r="F125" s="168"/>
      <c r="G125" s="168"/>
      <c r="H125" s="168"/>
      <c r="I125" s="168"/>
    </row>
    <row r="126" spans="4:9" ht="11.25">
      <c r="D126" s="168"/>
      <c r="E126" s="168"/>
      <c r="F126" s="168"/>
      <c r="G126" s="168"/>
      <c r="H126" s="168"/>
      <c r="I126" s="168"/>
    </row>
    <row r="127" spans="4:9" ht="11.25">
      <c r="D127" s="168"/>
      <c r="E127" s="168"/>
      <c r="F127" s="168"/>
      <c r="G127" s="168"/>
      <c r="H127" s="168"/>
      <c r="I127" s="168"/>
    </row>
    <row r="128" spans="4:9" ht="11.25">
      <c r="D128" s="168"/>
      <c r="E128" s="168"/>
      <c r="F128" s="168"/>
      <c r="G128" s="168"/>
      <c r="H128" s="168"/>
      <c r="I128" s="168"/>
    </row>
    <row r="129" spans="4:9" ht="11.25">
      <c r="D129" s="168"/>
      <c r="E129" s="168"/>
      <c r="F129" s="168"/>
      <c r="G129" s="168"/>
      <c r="H129" s="168"/>
      <c r="I129" s="168"/>
    </row>
    <row r="130" spans="4:9" ht="11.25">
      <c r="D130" s="168"/>
      <c r="E130" s="168"/>
      <c r="F130" s="168"/>
      <c r="G130" s="168"/>
      <c r="H130" s="168"/>
      <c r="I130" s="168"/>
    </row>
    <row r="131" spans="4:9" ht="11.25">
      <c r="D131" s="168"/>
      <c r="E131" s="168"/>
      <c r="F131" s="168"/>
      <c r="G131" s="168"/>
      <c r="H131" s="168"/>
      <c r="I131" s="168"/>
    </row>
    <row r="132" spans="4:9" ht="11.25">
      <c r="D132" s="168"/>
      <c r="E132" s="168"/>
      <c r="F132" s="168"/>
      <c r="G132" s="168"/>
      <c r="H132" s="168"/>
      <c r="I132" s="168"/>
    </row>
    <row r="133" spans="4:9" ht="11.25">
      <c r="D133" s="168"/>
      <c r="E133" s="168"/>
      <c r="F133" s="168"/>
      <c r="G133" s="168"/>
      <c r="H133" s="168"/>
      <c r="I133" s="168"/>
    </row>
    <row r="134" spans="4:9" ht="11.25">
      <c r="D134" s="168"/>
      <c r="E134" s="168"/>
      <c r="F134" s="168"/>
      <c r="G134" s="168"/>
      <c r="H134" s="168"/>
      <c r="I134" s="168"/>
    </row>
    <row r="135" spans="4:9" ht="11.25">
      <c r="D135" s="168"/>
      <c r="E135" s="168"/>
      <c r="F135" s="168"/>
      <c r="G135" s="168"/>
      <c r="H135" s="168"/>
      <c r="I135" s="168"/>
    </row>
    <row r="136" spans="4:9" ht="11.25">
      <c r="D136" s="168"/>
      <c r="E136" s="168"/>
      <c r="F136" s="168"/>
      <c r="G136" s="168"/>
      <c r="H136" s="168"/>
      <c r="I136" s="168"/>
    </row>
    <row r="137" spans="4:9" ht="11.25">
      <c r="D137" s="168"/>
      <c r="E137" s="168"/>
      <c r="F137" s="168"/>
      <c r="G137" s="168"/>
      <c r="H137" s="168"/>
      <c r="I137" s="168"/>
    </row>
    <row r="138" spans="4:9" ht="11.25">
      <c r="D138" s="168"/>
      <c r="E138" s="168"/>
      <c r="F138" s="168"/>
      <c r="G138" s="168"/>
      <c r="H138" s="168"/>
      <c r="I138" s="168"/>
    </row>
    <row r="139" spans="4:9" ht="11.25">
      <c r="D139" s="168"/>
      <c r="E139" s="168"/>
      <c r="F139" s="168"/>
      <c r="G139" s="168"/>
      <c r="H139" s="168"/>
      <c r="I139" s="168"/>
    </row>
    <row r="140" spans="4:9" ht="11.25">
      <c r="D140" s="168"/>
      <c r="E140" s="168"/>
      <c r="F140" s="168"/>
      <c r="G140" s="168"/>
      <c r="H140" s="168"/>
      <c r="I140" s="168"/>
    </row>
    <row r="141" spans="4:9" ht="11.25">
      <c r="D141" s="168"/>
      <c r="E141" s="168"/>
      <c r="F141" s="168"/>
      <c r="G141" s="168"/>
      <c r="H141" s="168"/>
      <c r="I141" s="168"/>
    </row>
    <row r="142" spans="4:9" ht="11.25">
      <c r="D142" s="168"/>
      <c r="E142" s="168"/>
      <c r="F142" s="168"/>
      <c r="G142" s="168"/>
      <c r="H142" s="168"/>
      <c r="I142" s="168"/>
    </row>
    <row r="143" spans="4:9" ht="11.25">
      <c r="D143" s="168"/>
      <c r="E143" s="168"/>
      <c r="F143" s="168"/>
      <c r="G143" s="168"/>
      <c r="H143" s="168"/>
      <c r="I143" s="168"/>
    </row>
    <row r="144" spans="4:9" ht="11.25">
      <c r="D144" s="168"/>
      <c r="E144" s="168"/>
      <c r="F144" s="168"/>
      <c r="G144" s="168"/>
      <c r="H144" s="168"/>
      <c r="I144" s="168"/>
    </row>
    <row r="145" spans="4:9" ht="11.25">
      <c r="D145" s="168"/>
      <c r="E145" s="168"/>
      <c r="F145" s="168"/>
      <c r="G145" s="168"/>
      <c r="H145" s="168"/>
      <c r="I145" s="168"/>
    </row>
    <row r="146" spans="4:9" ht="11.25">
      <c r="D146" s="168"/>
      <c r="E146" s="168"/>
      <c r="F146" s="168"/>
      <c r="G146" s="168"/>
      <c r="H146" s="168"/>
      <c r="I146" s="168"/>
    </row>
    <row r="147" spans="4:9" ht="11.25">
      <c r="D147" s="168"/>
      <c r="E147" s="168"/>
      <c r="F147" s="168"/>
      <c r="G147" s="168"/>
      <c r="H147" s="168"/>
      <c r="I147" s="168"/>
    </row>
    <row r="148" spans="4:9" ht="11.25">
      <c r="D148" s="168"/>
      <c r="E148" s="168"/>
      <c r="F148" s="168"/>
      <c r="G148" s="168"/>
      <c r="H148" s="168"/>
      <c r="I148" s="168"/>
    </row>
    <row r="149" spans="4:9" ht="11.25">
      <c r="D149" s="168"/>
      <c r="E149" s="168"/>
      <c r="F149" s="168"/>
      <c r="G149" s="168"/>
      <c r="H149" s="168"/>
      <c r="I149" s="168"/>
    </row>
    <row r="150" spans="4:9" ht="11.25">
      <c r="D150" s="168"/>
      <c r="E150" s="168"/>
      <c r="F150" s="168"/>
      <c r="G150" s="168"/>
      <c r="H150" s="168"/>
      <c r="I150" s="168"/>
    </row>
    <row r="151" spans="4:9" ht="11.25">
      <c r="D151" s="168"/>
      <c r="E151" s="168"/>
      <c r="F151" s="168"/>
      <c r="G151" s="168"/>
      <c r="H151" s="168"/>
      <c r="I151" s="168"/>
    </row>
    <row r="152" spans="4:9" ht="11.25">
      <c r="D152" s="168"/>
      <c r="E152" s="168"/>
      <c r="F152" s="168"/>
      <c r="G152" s="168"/>
      <c r="H152" s="168"/>
      <c r="I152" s="168"/>
    </row>
    <row r="153" spans="4:9" ht="11.25">
      <c r="D153" s="168"/>
      <c r="E153" s="168"/>
      <c r="F153" s="168"/>
      <c r="G153" s="168"/>
      <c r="H153" s="168"/>
      <c r="I153" s="168"/>
    </row>
    <row r="154" spans="4:9" ht="11.25">
      <c r="D154" s="168"/>
      <c r="E154" s="168"/>
      <c r="F154" s="168"/>
      <c r="G154" s="168"/>
      <c r="H154" s="168"/>
      <c r="I154" s="168"/>
    </row>
    <row r="155" spans="4:9" ht="11.25">
      <c r="D155" s="168"/>
      <c r="E155" s="168"/>
      <c r="F155" s="168"/>
      <c r="G155" s="168"/>
      <c r="H155" s="168"/>
      <c r="I155" s="168"/>
    </row>
    <row r="156" spans="4:9" ht="11.25">
      <c r="D156" s="168"/>
      <c r="E156" s="168"/>
      <c r="F156" s="168"/>
      <c r="G156" s="168"/>
      <c r="H156" s="168"/>
      <c r="I156" s="168"/>
    </row>
    <row r="157" spans="4:9" ht="11.25">
      <c r="D157" s="168"/>
      <c r="E157" s="168"/>
      <c r="F157" s="168"/>
      <c r="G157" s="168"/>
      <c r="H157" s="168"/>
      <c r="I157" s="168"/>
    </row>
    <row r="158" spans="4:9" ht="11.25">
      <c r="D158" s="168"/>
      <c r="E158" s="168"/>
      <c r="F158" s="168"/>
      <c r="G158" s="168"/>
      <c r="H158" s="168"/>
      <c r="I158" s="168"/>
    </row>
    <row r="159" spans="4:9" ht="11.25">
      <c r="D159" s="168"/>
      <c r="E159" s="168"/>
      <c r="F159" s="168"/>
      <c r="G159" s="168"/>
      <c r="H159" s="168"/>
      <c r="I159" s="168"/>
    </row>
    <row r="160" spans="4:9" ht="11.25">
      <c r="D160" s="168"/>
      <c r="E160" s="168"/>
      <c r="F160" s="168"/>
      <c r="G160" s="168"/>
      <c r="H160" s="168"/>
      <c r="I160" s="168"/>
    </row>
    <row r="161" spans="4:9" ht="11.25">
      <c r="D161" s="168"/>
      <c r="E161" s="168"/>
      <c r="F161" s="168"/>
      <c r="G161" s="168"/>
      <c r="H161" s="168"/>
      <c r="I161" s="168"/>
    </row>
    <row r="162" spans="4:9" ht="11.25">
      <c r="D162" s="168"/>
      <c r="E162" s="168"/>
      <c r="F162" s="168"/>
      <c r="G162" s="168"/>
      <c r="H162" s="168"/>
      <c r="I162" s="168"/>
    </row>
    <row r="163" spans="4:9" ht="11.25">
      <c r="D163" s="168"/>
      <c r="E163" s="168"/>
      <c r="F163" s="168"/>
      <c r="G163" s="168"/>
      <c r="H163" s="168"/>
      <c r="I163" s="168"/>
    </row>
    <row r="164" spans="4:9" ht="11.25">
      <c r="D164" s="168"/>
      <c r="E164" s="168"/>
      <c r="F164" s="168"/>
      <c r="G164" s="168"/>
      <c r="H164" s="168"/>
      <c r="I164" s="168"/>
    </row>
    <row r="165" spans="4:9" ht="11.25">
      <c r="D165" s="168"/>
      <c r="E165" s="168"/>
      <c r="F165" s="168"/>
      <c r="G165" s="168"/>
      <c r="H165" s="168"/>
      <c r="I165" s="168"/>
    </row>
    <row r="166" spans="4:9" ht="11.25">
      <c r="D166" s="168"/>
      <c r="E166" s="168"/>
      <c r="F166" s="168"/>
      <c r="G166" s="168"/>
      <c r="H166" s="168"/>
      <c r="I166" s="168"/>
    </row>
    <row r="167" spans="4:9" ht="11.25">
      <c r="D167" s="168"/>
      <c r="E167" s="168"/>
      <c r="F167" s="168"/>
      <c r="G167" s="168"/>
      <c r="H167" s="168"/>
      <c r="I167" s="168"/>
    </row>
    <row r="168" spans="4:9" ht="11.25">
      <c r="D168" s="168"/>
      <c r="E168" s="168"/>
      <c r="F168" s="168"/>
      <c r="G168" s="168"/>
      <c r="H168" s="168"/>
      <c r="I168" s="168"/>
    </row>
    <row r="169" spans="4:9" ht="11.25">
      <c r="D169" s="168"/>
      <c r="E169" s="168"/>
      <c r="F169" s="168"/>
      <c r="G169" s="168"/>
      <c r="H169" s="168"/>
      <c r="I169" s="168"/>
    </row>
    <row r="170" spans="4:9" ht="11.25">
      <c r="D170" s="168"/>
      <c r="E170" s="168"/>
      <c r="F170" s="168"/>
      <c r="G170" s="168"/>
      <c r="H170" s="168"/>
      <c r="I170" s="168"/>
    </row>
    <row r="171" spans="4:9" ht="11.25">
      <c r="D171" s="168"/>
      <c r="E171" s="168"/>
      <c r="F171" s="168"/>
      <c r="G171" s="168"/>
      <c r="H171" s="168"/>
      <c r="I171" s="168"/>
    </row>
    <row r="172" spans="4:9" ht="11.25">
      <c r="D172" s="168"/>
      <c r="E172" s="168"/>
      <c r="F172" s="168"/>
      <c r="G172" s="168"/>
      <c r="H172" s="168"/>
      <c r="I172" s="168"/>
    </row>
    <row r="173" spans="4:9" ht="11.25">
      <c r="D173" s="168"/>
      <c r="E173" s="168"/>
      <c r="F173" s="168"/>
      <c r="G173" s="168"/>
      <c r="H173" s="168"/>
      <c r="I173" s="168"/>
    </row>
    <row r="174" spans="4:9" ht="11.25">
      <c r="D174" s="168"/>
      <c r="E174" s="168"/>
      <c r="F174" s="168"/>
      <c r="G174" s="168"/>
      <c r="H174" s="168"/>
      <c r="I174" s="168"/>
    </row>
    <row r="175" spans="4:9" ht="11.25">
      <c r="D175" s="168"/>
      <c r="E175" s="168"/>
      <c r="F175" s="168"/>
      <c r="G175" s="168"/>
      <c r="H175" s="168"/>
      <c r="I175" s="168"/>
    </row>
    <row r="176" spans="4:9" ht="11.25">
      <c r="D176" s="168"/>
      <c r="E176" s="168"/>
      <c r="F176" s="168"/>
      <c r="G176" s="168"/>
      <c r="H176" s="168"/>
      <c r="I176" s="168"/>
    </row>
    <row r="177" spans="4:9" ht="11.25">
      <c r="D177" s="168"/>
      <c r="E177" s="168"/>
      <c r="F177" s="168"/>
      <c r="G177" s="168"/>
      <c r="H177" s="168"/>
      <c r="I177" s="168"/>
    </row>
    <row r="178" spans="4:9" ht="11.25">
      <c r="D178" s="168"/>
      <c r="E178" s="168"/>
      <c r="F178" s="168"/>
      <c r="G178" s="168"/>
      <c r="H178" s="168"/>
      <c r="I178" s="168"/>
    </row>
    <row r="179" spans="4:9" ht="11.25">
      <c r="D179" s="168"/>
      <c r="E179" s="168"/>
      <c r="F179" s="168"/>
      <c r="G179" s="168"/>
      <c r="H179" s="168"/>
      <c r="I179" s="168"/>
    </row>
    <row r="180" spans="4:9" ht="11.25">
      <c r="D180" s="168"/>
      <c r="E180" s="168"/>
      <c r="F180" s="168"/>
      <c r="G180" s="168"/>
      <c r="H180" s="168"/>
      <c r="I180" s="168"/>
    </row>
    <row r="181" spans="4:9" ht="11.25">
      <c r="D181" s="168"/>
      <c r="E181" s="168"/>
      <c r="F181" s="168"/>
      <c r="G181" s="168"/>
      <c r="H181" s="168"/>
      <c r="I181" s="168"/>
    </row>
    <row r="182" spans="4:9" ht="11.25">
      <c r="D182" s="168"/>
      <c r="E182" s="168"/>
      <c r="F182" s="168"/>
      <c r="G182" s="168"/>
      <c r="H182" s="168"/>
      <c r="I182" s="168"/>
    </row>
    <row r="183" spans="4:9" ht="11.25">
      <c r="D183" s="168"/>
      <c r="E183" s="168"/>
      <c r="F183" s="168"/>
      <c r="G183" s="168"/>
      <c r="H183" s="168"/>
      <c r="I183" s="168"/>
    </row>
    <row r="184" spans="4:9" ht="11.25">
      <c r="D184" s="168"/>
      <c r="E184" s="168"/>
      <c r="F184" s="168"/>
      <c r="G184" s="168"/>
      <c r="H184" s="168"/>
      <c r="I184" s="168"/>
    </row>
    <row r="185" spans="4:9" ht="11.25">
      <c r="D185" s="168"/>
      <c r="E185" s="168"/>
      <c r="F185" s="168"/>
      <c r="G185" s="168"/>
      <c r="H185" s="168"/>
      <c r="I185" s="168"/>
    </row>
    <row r="186" spans="4:9" ht="11.25">
      <c r="D186" s="168"/>
      <c r="E186" s="168"/>
      <c r="F186" s="168"/>
      <c r="G186" s="168"/>
      <c r="H186" s="168"/>
      <c r="I186" s="168"/>
    </row>
    <row r="187" spans="4:9" ht="11.25">
      <c r="D187" s="168"/>
      <c r="E187" s="168"/>
      <c r="F187" s="168"/>
      <c r="G187" s="168"/>
      <c r="H187" s="168"/>
      <c r="I187" s="168"/>
    </row>
    <row r="188" spans="4:9" ht="11.25">
      <c r="D188" s="168"/>
      <c r="E188" s="168"/>
      <c r="F188" s="168"/>
      <c r="G188" s="168"/>
      <c r="H188" s="168"/>
      <c r="I188" s="168"/>
    </row>
    <row r="189" spans="4:9" ht="11.25">
      <c r="D189" s="168"/>
      <c r="E189" s="168"/>
      <c r="F189" s="168"/>
      <c r="G189" s="168"/>
      <c r="H189" s="168"/>
      <c r="I189" s="168"/>
    </row>
    <row r="190" spans="4:9" ht="11.25">
      <c r="D190" s="168"/>
      <c r="E190" s="168"/>
      <c r="F190" s="168"/>
      <c r="G190" s="168"/>
      <c r="H190" s="168"/>
      <c r="I190" s="168"/>
    </row>
    <row r="191" spans="4:9" ht="11.25">
      <c r="D191" s="168"/>
      <c r="E191" s="168"/>
      <c r="F191" s="168"/>
      <c r="G191" s="168"/>
      <c r="H191" s="168"/>
      <c r="I191" s="168"/>
    </row>
    <row r="192" spans="4:9" ht="11.25">
      <c r="D192" s="168"/>
      <c r="E192" s="168"/>
      <c r="F192" s="168"/>
      <c r="G192" s="168"/>
      <c r="H192" s="168"/>
      <c r="I192" s="168"/>
    </row>
    <row r="193" spans="4:9" ht="11.25">
      <c r="D193" s="168"/>
      <c r="E193" s="168"/>
      <c r="F193" s="168"/>
      <c r="G193" s="168"/>
      <c r="H193" s="168"/>
      <c r="I193" s="168"/>
    </row>
    <row r="194" spans="4:9" ht="11.25">
      <c r="D194" s="168"/>
      <c r="E194" s="168"/>
      <c r="F194" s="168"/>
      <c r="G194" s="168"/>
      <c r="H194" s="168"/>
      <c r="I194" s="168"/>
    </row>
    <row r="195" spans="4:9" ht="11.25">
      <c r="D195" s="168"/>
      <c r="E195" s="168"/>
      <c r="F195" s="168"/>
      <c r="G195" s="168"/>
      <c r="H195" s="168"/>
      <c r="I195" s="168"/>
    </row>
    <row r="196" spans="4:9" ht="11.25">
      <c r="D196" s="168"/>
      <c r="E196" s="168"/>
      <c r="F196" s="168"/>
      <c r="G196" s="168"/>
      <c r="H196" s="168"/>
      <c r="I196" s="168"/>
    </row>
    <row r="197" spans="4:9" ht="11.25">
      <c r="D197" s="168"/>
      <c r="E197" s="168"/>
      <c r="F197" s="168"/>
      <c r="G197" s="168"/>
      <c r="H197" s="168"/>
      <c r="I197" s="168"/>
    </row>
    <row r="198" spans="4:9" ht="11.25">
      <c r="D198" s="168"/>
      <c r="E198" s="168"/>
      <c r="F198" s="168"/>
      <c r="G198" s="168"/>
      <c r="H198" s="168"/>
      <c r="I198" s="168"/>
    </row>
    <row r="199" spans="4:9" ht="11.25">
      <c r="D199" s="168"/>
      <c r="E199" s="168"/>
      <c r="F199" s="168"/>
      <c r="G199" s="168"/>
      <c r="H199" s="168"/>
      <c r="I199" s="168"/>
    </row>
    <row r="200" spans="4:9" ht="11.25">
      <c r="D200" s="168"/>
      <c r="E200" s="168"/>
      <c r="F200" s="168"/>
      <c r="G200" s="168"/>
      <c r="H200" s="168"/>
      <c r="I200" s="168"/>
    </row>
    <row r="201" spans="4:9" ht="11.25">
      <c r="D201" s="168"/>
      <c r="E201" s="168"/>
      <c r="F201" s="168"/>
      <c r="G201" s="168"/>
      <c r="H201" s="168"/>
      <c r="I201" s="168"/>
    </row>
    <row r="202" spans="4:9" ht="11.25">
      <c r="D202" s="168"/>
      <c r="E202" s="168"/>
      <c r="F202" s="168"/>
      <c r="G202" s="168"/>
      <c r="H202" s="168"/>
      <c r="I202" s="168"/>
    </row>
    <row r="203" spans="4:9" ht="11.25">
      <c r="D203" s="168"/>
      <c r="E203" s="168"/>
      <c r="F203" s="168"/>
      <c r="G203" s="168"/>
      <c r="H203" s="168"/>
      <c r="I203" s="168"/>
    </row>
    <row r="204" spans="4:9" ht="11.25">
      <c r="D204" s="168"/>
      <c r="E204" s="168"/>
      <c r="F204" s="168"/>
      <c r="G204" s="168"/>
      <c r="H204" s="168"/>
      <c r="I204" s="168"/>
    </row>
    <row r="205" spans="4:9" ht="11.25">
      <c r="D205" s="168"/>
      <c r="E205" s="168"/>
      <c r="F205" s="168"/>
      <c r="G205" s="168"/>
      <c r="H205" s="168"/>
      <c r="I205" s="168"/>
    </row>
    <row r="206" spans="4:9" ht="11.25">
      <c r="D206" s="168"/>
      <c r="E206" s="168"/>
      <c r="F206" s="168"/>
      <c r="G206" s="168"/>
      <c r="H206" s="168"/>
      <c r="I206" s="168"/>
    </row>
    <row r="207" spans="4:9" ht="11.25">
      <c r="D207" s="168"/>
      <c r="E207" s="168"/>
      <c r="F207" s="168"/>
      <c r="G207" s="168"/>
      <c r="H207" s="168"/>
      <c r="I207" s="168"/>
    </row>
    <row r="208" spans="4:9" ht="11.25">
      <c r="D208" s="168"/>
      <c r="E208" s="168"/>
      <c r="F208" s="168"/>
      <c r="G208" s="168"/>
      <c r="H208" s="168"/>
      <c r="I208" s="168"/>
    </row>
    <row r="209" spans="4:9" ht="11.25">
      <c r="D209" s="168"/>
      <c r="E209" s="168"/>
      <c r="F209" s="168"/>
      <c r="G209" s="168"/>
      <c r="H209" s="168"/>
      <c r="I209" s="168"/>
    </row>
    <row r="210" spans="4:9" ht="11.25">
      <c r="D210" s="168"/>
      <c r="E210" s="168"/>
      <c r="F210" s="168"/>
      <c r="G210" s="168"/>
      <c r="H210" s="168"/>
      <c r="I210" s="168"/>
    </row>
    <row r="211" spans="4:9" ht="11.25">
      <c r="D211" s="168"/>
      <c r="E211" s="168"/>
      <c r="F211" s="168"/>
      <c r="G211" s="168"/>
      <c r="H211" s="168"/>
      <c r="I211" s="168"/>
    </row>
    <row r="212" spans="4:9" ht="11.25">
      <c r="D212" s="168"/>
      <c r="E212" s="168"/>
      <c r="F212" s="168"/>
      <c r="G212" s="168"/>
      <c r="H212" s="168"/>
      <c r="I212" s="168"/>
    </row>
    <row r="213" spans="4:9" ht="11.25">
      <c r="D213" s="168"/>
      <c r="E213" s="168"/>
      <c r="F213" s="168"/>
      <c r="G213" s="168"/>
      <c r="H213" s="168"/>
      <c r="I213" s="168"/>
    </row>
    <row r="214" spans="4:9" ht="11.25">
      <c r="D214" s="168"/>
      <c r="E214" s="168"/>
      <c r="F214" s="168"/>
      <c r="G214" s="168"/>
      <c r="H214" s="168"/>
      <c r="I214" s="168"/>
    </row>
    <row r="215" spans="4:9" ht="11.25">
      <c r="D215" s="168"/>
      <c r="E215" s="168"/>
      <c r="F215" s="168"/>
      <c r="G215" s="168"/>
      <c r="H215" s="168"/>
      <c r="I215" s="168"/>
    </row>
    <row r="216" spans="4:9" ht="11.25">
      <c r="D216" s="168"/>
      <c r="E216" s="168"/>
      <c r="F216" s="168"/>
      <c r="G216" s="168"/>
      <c r="H216" s="168"/>
      <c r="I216" s="168"/>
    </row>
    <row r="217" spans="4:9" ht="11.25">
      <c r="D217" s="168"/>
      <c r="E217" s="168"/>
      <c r="F217" s="168"/>
      <c r="G217" s="168"/>
      <c r="H217" s="168"/>
      <c r="I217" s="168"/>
    </row>
    <row r="218" spans="4:9" ht="11.25">
      <c r="D218" s="168"/>
      <c r="E218" s="168"/>
      <c r="F218" s="168"/>
      <c r="G218" s="168"/>
      <c r="H218" s="168"/>
      <c r="I218" s="168"/>
    </row>
    <row r="219" spans="4:9" ht="11.25">
      <c r="D219" s="168"/>
      <c r="E219" s="168"/>
      <c r="F219" s="168"/>
      <c r="G219" s="168"/>
      <c r="H219" s="168"/>
      <c r="I219" s="168"/>
    </row>
    <row r="220" spans="4:9" ht="11.25">
      <c r="D220" s="168"/>
      <c r="E220" s="168"/>
      <c r="F220" s="168"/>
      <c r="G220" s="168"/>
      <c r="H220" s="168"/>
      <c r="I220" s="168"/>
    </row>
    <row r="221" spans="4:9" ht="11.25">
      <c r="D221" s="168"/>
      <c r="E221" s="168"/>
      <c r="F221" s="168"/>
      <c r="G221" s="168"/>
      <c r="H221" s="168"/>
      <c r="I221" s="168"/>
    </row>
    <row r="222" spans="4:9" ht="11.25">
      <c r="D222" s="168"/>
      <c r="E222" s="168"/>
      <c r="F222" s="168"/>
      <c r="G222" s="168"/>
      <c r="H222" s="168"/>
      <c r="I222" s="168"/>
    </row>
    <row r="223" spans="4:9" ht="11.25">
      <c r="D223" s="168"/>
      <c r="E223" s="168"/>
      <c r="F223" s="168"/>
      <c r="G223" s="168"/>
      <c r="H223" s="168"/>
      <c r="I223" s="168"/>
    </row>
    <row r="224" spans="4:9" ht="11.25">
      <c r="D224" s="168"/>
      <c r="E224" s="168"/>
      <c r="F224" s="168"/>
      <c r="G224" s="168"/>
      <c r="H224" s="168"/>
      <c r="I224" s="168"/>
    </row>
    <row r="225" spans="4:9" ht="11.25">
      <c r="D225" s="168"/>
      <c r="E225" s="168"/>
      <c r="F225" s="168"/>
      <c r="G225" s="168"/>
      <c r="H225" s="168"/>
      <c r="I225" s="168"/>
    </row>
    <row r="226" spans="4:9" ht="11.25">
      <c r="D226" s="168"/>
      <c r="E226" s="168"/>
      <c r="F226" s="168"/>
      <c r="G226" s="168"/>
      <c r="H226" s="168"/>
      <c r="I226" s="168"/>
    </row>
    <row r="227" spans="4:9" ht="11.25">
      <c r="D227" s="168"/>
      <c r="E227" s="168"/>
      <c r="F227" s="168"/>
      <c r="G227" s="168"/>
      <c r="H227" s="168"/>
      <c r="I227" s="168"/>
    </row>
    <row r="228" spans="4:9" ht="11.25">
      <c r="D228" s="168"/>
      <c r="E228" s="168"/>
      <c r="F228" s="168"/>
      <c r="G228" s="168"/>
      <c r="H228" s="168"/>
      <c r="I228" s="168"/>
    </row>
    <row r="229" spans="4:9" ht="11.25">
      <c r="D229" s="168"/>
      <c r="E229" s="168"/>
      <c r="F229" s="168"/>
      <c r="G229" s="168"/>
      <c r="H229" s="168"/>
      <c r="I229" s="168"/>
    </row>
    <row r="230" spans="4:9" ht="11.25">
      <c r="D230" s="168"/>
      <c r="E230" s="168"/>
      <c r="F230" s="168"/>
      <c r="G230" s="168"/>
      <c r="H230" s="168"/>
      <c r="I230" s="168"/>
    </row>
    <row r="231" spans="4:9" ht="11.25">
      <c r="D231" s="168"/>
      <c r="E231" s="168"/>
      <c r="F231" s="168"/>
      <c r="G231" s="168"/>
      <c r="H231" s="168"/>
      <c r="I231" s="168"/>
    </row>
    <row r="232" spans="4:9" ht="11.25">
      <c r="D232" s="168"/>
      <c r="E232" s="168"/>
      <c r="F232" s="168"/>
      <c r="G232" s="168"/>
      <c r="H232" s="168"/>
      <c r="I232" s="168"/>
    </row>
    <row r="233" spans="4:9" ht="11.25">
      <c r="D233" s="168"/>
      <c r="E233" s="168"/>
      <c r="F233" s="168"/>
      <c r="G233" s="168"/>
      <c r="H233" s="168"/>
      <c r="I233" s="168"/>
    </row>
    <row r="234" spans="4:9" ht="11.25">
      <c r="D234" s="168"/>
      <c r="E234" s="168"/>
      <c r="F234" s="168"/>
      <c r="G234" s="168"/>
      <c r="H234" s="168"/>
      <c r="I234" s="168"/>
    </row>
    <row r="235" spans="4:9" ht="11.25">
      <c r="D235" s="168"/>
      <c r="E235" s="168"/>
      <c r="F235" s="168"/>
      <c r="G235" s="168"/>
      <c r="H235" s="168"/>
      <c r="I235" s="168"/>
    </row>
    <row r="236" spans="4:9" ht="11.25">
      <c r="D236" s="168"/>
      <c r="E236" s="168"/>
      <c r="F236" s="168"/>
      <c r="G236" s="168"/>
      <c r="H236" s="168"/>
      <c r="I236" s="168"/>
    </row>
    <row r="237" spans="4:9" ht="11.25">
      <c r="D237" s="168"/>
      <c r="E237" s="168"/>
      <c r="F237" s="168"/>
      <c r="G237" s="168"/>
      <c r="H237" s="168"/>
      <c r="I237" s="168"/>
    </row>
    <row r="238" spans="4:9" ht="11.25">
      <c r="D238" s="168"/>
      <c r="E238" s="168"/>
      <c r="F238" s="168"/>
      <c r="G238" s="168"/>
      <c r="H238" s="168"/>
      <c r="I238" s="168"/>
    </row>
    <row r="239" spans="4:9" ht="11.25">
      <c r="D239" s="168"/>
      <c r="E239" s="168"/>
      <c r="F239" s="168"/>
      <c r="G239" s="168"/>
      <c r="H239" s="168"/>
      <c r="I239" s="168"/>
    </row>
    <row r="240" spans="4:9" ht="11.25">
      <c r="D240" s="168"/>
      <c r="E240" s="168"/>
      <c r="F240" s="168"/>
      <c r="G240" s="168"/>
      <c r="H240" s="168"/>
      <c r="I240" s="168"/>
    </row>
    <row r="241" spans="4:9" ht="11.25">
      <c r="D241" s="168"/>
      <c r="E241" s="168"/>
      <c r="F241" s="168"/>
      <c r="G241" s="168"/>
      <c r="H241" s="168"/>
      <c r="I241" s="168"/>
    </row>
    <row r="242" spans="4:9" ht="11.25">
      <c r="D242" s="168"/>
      <c r="E242" s="168"/>
      <c r="F242" s="168"/>
      <c r="G242" s="168"/>
      <c r="H242" s="168"/>
      <c r="I242" s="168"/>
    </row>
    <row r="243" spans="4:9" ht="11.25">
      <c r="D243" s="168"/>
      <c r="E243" s="168"/>
      <c r="F243" s="168"/>
      <c r="G243" s="168"/>
      <c r="H243" s="168"/>
      <c r="I243" s="168"/>
    </row>
    <row r="244" spans="4:9" ht="11.25">
      <c r="D244" s="168"/>
      <c r="E244" s="168"/>
      <c r="F244" s="168"/>
      <c r="G244" s="168"/>
      <c r="H244" s="168"/>
      <c r="I244" s="168"/>
    </row>
    <row r="245" spans="4:9" ht="11.25">
      <c r="D245" s="168"/>
      <c r="E245" s="168"/>
      <c r="F245" s="168"/>
      <c r="G245" s="168"/>
      <c r="H245" s="168"/>
      <c r="I245" s="168"/>
    </row>
    <row r="246" spans="4:9" ht="11.25">
      <c r="D246" s="168"/>
      <c r="E246" s="168"/>
      <c r="F246" s="168"/>
      <c r="G246" s="168"/>
      <c r="H246" s="168"/>
      <c r="I246" s="168"/>
    </row>
    <row r="247" spans="4:9" ht="11.25">
      <c r="D247" s="168"/>
      <c r="E247" s="168"/>
      <c r="F247" s="168"/>
      <c r="G247" s="168"/>
      <c r="H247" s="168"/>
      <c r="I247" s="168"/>
    </row>
    <row r="248" spans="4:9" ht="11.25">
      <c r="D248" s="168"/>
      <c r="E248" s="168"/>
      <c r="F248" s="168"/>
      <c r="G248" s="168"/>
      <c r="H248" s="168"/>
      <c r="I248" s="168"/>
    </row>
    <row r="249" spans="4:9" ht="11.25">
      <c r="D249" s="168"/>
      <c r="E249" s="168"/>
      <c r="F249" s="168"/>
      <c r="G249" s="168"/>
      <c r="H249" s="168"/>
      <c r="I249" s="168"/>
    </row>
    <row r="250" spans="4:9" ht="11.25">
      <c r="D250" s="168"/>
      <c r="E250" s="168"/>
      <c r="F250" s="168"/>
      <c r="G250" s="168"/>
      <c r="H250" s="168"/>
      <c r="I250" s="168"/>
    </row>
    <row r="251" spans="4:9" ht="11.25">
      <c r="D251" s="168"/>
      <c r="E251" s="168"/>
      <c r="F251" s="168"/>
      <c r="G251" s="168"/>
      <c r="H251" s="168"/>
      <c r="I251" s="168"/>
    </row>
    <row r="252" spans="4:9" ht="11.25">
      <c r="D252" s="168"/>
      <c r="E252" s="168"/>
      <c r="F252" s="168"/>
      <c r="G252" s="168"/>
      <c r="H252" s="168"/>
      <c r="I252" s="168"/>
    </row>
    <row r="253" spans="4:9" ht="11.25">
      <c r="D253" s="168"/>
      <c r="E253" s="168"/>
      <c r="F253" s="168"/>
      <c r="G253" s="168"/>
      <c r="H253" s="168"/>
      <c r="I253" s="168"/>
    </row>
    <row r="254" spans="4:9" ht="11.25">
      <c r="D254" s="168"/>
      <c r="E254" s="168"/>
      <c r="F254" s="168"/>
      <c r="G254" s="168"/>
      <c r="H254" s="168"/>
      <c r="I254" s="168"/>
    </row>
    <row r="255" spans="4:9" ht="11.25">
      <c r="D255" s="168"/>
      <c r="E255" s="168"/>
      <c r="F255" s="168"/>
      <c r="G255" s="168"/>
      <c r="H255" s="168"/>
      <c r="I255" s="168"/>
    </row>
    <row r="256" spans="4:9" ht="11.25">
      <c r="D256" s="168"/>
      <c r="E256" s="168"/>
      <c r="F256" s="168"/>
      <c r="G256" s="168"/>
      <c r="H256" s="168"/>
      <c r="I256" s="168"/>
    </row>
    <row r="257" spans="4:9" ht="11.25">
      <c r="D257" s="168"/>
      <c r="E257" s="168"/>
      <c r="F257" s="168"/>
      <c r="G257" s="168"/>
      <c r="H257" s="168"/>
      <c r="I257" s="168"/>
    </row>
    <row r="258" spans="4:9" ht="11.25">
      <c r="D258" s="168"/>
      <c r="E258" s="168"/>
      <c r="F258" s="168"/>
      <c r="G258" s="168"/>
      <c r="H258" s="168"/>
      <c r="I258" s="168"/>
    </row>
    <row r="259" spans="4:9" ht="11.25">
      <c r="D259" s="168"/>
      <c r="E259" s="168"/>
      <c r="F259" s="168"/>
      <c r="G259" s="168"/>
      <c r="H259" s="168"/>
      <c r="I259" s="168"/>
    </row>
    <row r="260" spans="4:9" ht="11.25">
      <c r="D260" s="168"/>
      <c r="E260" s="168"/>
      <c r="F260" s="168"/>
      <c r="G260" s="168"/>
      <c r="H260" s="168"/>
      <c r="I260" s="168"/>
    </row>
    <row r="261" spans="4:9" ht="11.25">
      <c r="D261" s="168"/>
      <c r="E261" s="168"/>
      <c r="F261" s="168"/>
      <c r="G261" s="168"/>
      <c r="H261" s="168"/>
      <c r="I261" s="168"/>
    </row>
    <row r="262" spans="4:9" ht="11.25">
      <c r="D262" s="168"/>
      <c r="E262" s="168"/>
      <c r="F262" s="168"/>
      <c r="G262" s="168"/>
      <c r="H262" s="168"/>
      <c r="I262" s="168"/>
    </row>
    <row r="263" spans="4:9" ht="11.25">
      <c r="D263" s="168"/>
      <c r="E263" s="168"/>
      <c r="F263" s="168"/>
      <c r="G263" s="168"/>
      <c r="H263" s="168"/>
      <c r="I263" s="168"/>
    </row>
    <row r="264" spans="4:9" ht="11.25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7">
    <mergeCell ref="D31:F31"/>
    <mergeCell ref="H31:J31"/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B149" sqref="B149"/>
    </sheetView>
  </sheetViews>
  <sheetFormatPr defaultColWidth="10.625" defaultRowHeight="12.75"/>
  <cols>
    <col min="1" max="1" width="42.00390625" style="51" customWidth="1"/>
    <col min="2" max="2" width="8.125" style="77" customWidth="1"/>
    <col min="3" max="3" width="19.625" style="51" customWidth="1"/>
    <col min="4" max="4" width="20.125" style="51" customWidth="1"/>
    <col min="5" max="5" width="23.625" style="51" customWidth="1"/>
    <col min="6" max="6" width="19.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8" t="str">
        <f>'справка №1-БАЛАНС'!E3</f>
        <v>"Торготерм"АД</v>
      </c>
      <c r="C5" s="613"/>
      <c r="D5" s="587"/>
      <c r="E5" s="353" t="s">
        <v>2</v>
      </c>
      <c r="F5" s="590">
        <f>'справка №1-БАЛАНС'!H3</f>
        <v>819363984</v>
      </c>
    </row>
    <row r="6" spans="1:13" ht="15" customHeight="1">
      <c r="A6" s="54" t="s">
        <v>820</v>
      </c>
      <c r="B6" s="608" t="str">
        <f>'справка №1-БАЛАНС'!E5</f>
        <v>01.01.2015 г.-31.12.2015 г.</v>
      </c>
      <c r="C6" s="640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2"/>
      <c r="C7" s="642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2.5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874</v>
      </c>
      <c r="B151" s="561"/>
      <c r="C151" s="641" t="s">
        <v>858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865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5">
      <selection activeCell="D25" sqref="D25"/>
    </sheetView>
  </sheetViews>
  <sheetFormatPr defaultColWidth="9.37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3.5">
      <c r="A2" s="6" t="s">
        <v>1</v>
      </c>
      <c r="B2" s="533"/>
      <c r="C2" s="533"/>
      <c r="D2" s="533"/>
      <c r="E2" s="533" t="str">
        <f>'справка №1-БАЛАНС'!E3</f>
        <v>"Торготерм"АД</v>
      </c>
      <c r="F2" s="604" t="s">
        <v>2</v>
      </c>
      <c r="G2" s="604"/>
      <c r="H2" s="353">
        <f>'справка №1-БАЛАНС'!H3</f>
        <v>819363984</v>
      </c>
    </row>
    <row r="3" spans="1:8" ht="13.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01.01.2015 г.-31.12.2015 г.</v>
      </c>
      <c r="F4" s="351"/>
      <c r="G4" s="352"/>
      <c r="H4" s="355" t="s">
        <v>274</v>
      </c>
    </row>
    <row r="5" spans="1:8" ht="22.5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5864</v>
      </c>
      <c r="D9" s="79">
        <v>4920</v>
      </c>
      <c r="E9" s="363" t="s">
        <v>283</v>
      </c>
      <c r="F9" s="365" t="s">
        <v>284</v>
      </c>
      <c r="G9" s="599">
        <v>9589</v>
      </c>
      <c r="H9" s="599">
        <v>8614</v>
      </c>
    </row>
    <row r="10" spans="1:8" ht="12">
      <c r="A10" s="363" t="s">
        <v>285</v>
      </c>
      <c r="B10" s="364" t="s">
        <v>286</v>
      </c>
      <c r="C10" s="79">
        <v>374</v>
      </c>
      <c r="D10" s="79">
        <v>346</v>
      </c>
      <c r="E10" s="363" t="s">
        <v>287</v>
      </c>
      <c r="F10" s="365" t="s">
        <v>288</v>
      </c>
      <c r="G10" s="599">
        <v>130</v>
      </c>
      <c r="H10" s="599">
        <v>387</v>
      </c>
    </row>
    <row r="11" spans="1:8" ht="12">
      <c r="A11" s="363" t="s">
        <v>289</v>
      </c>
      <c r="B11" s="364" t="s">
        <v>290</v>
      </c>
      <c r="C11" s="79">
        <v>775</v>
      </c>
      <c r="D11" s="79">
        <v>705</v>
      </c>
      <c r="E11" s="366" t="s">
        <v>291</v>
      </c>
      <c r="F11" s="365" t="s">
        <v>292</v>
      </c>
      <c r="G11" s="599">
        <v>122</v>
      </c>
      <c r="H11" s="599">
        <v>72</v>
      </c>
    </row>
    <row r="12" spans="1:8" ht="12">
      <c r="A12" s="363" t="s">
        <v>293</v>
      </c>
      <c r="B12" s="364" t="s">
        <v>294</v>
      </c>
      <c r="C12" s="79">
        <v>2386</v>
      </c>
      <c r="D12" s="79">
        <v>2184</v>
      </c>
      <c r="E12" s="366" t="s">
        <v>78</v>
      </c>
      <c r="F12" s="365" t="s">
        <v>295</v>
      </c>
      <c r="G12" s="599">
        <v>160</v>
      </c>
      <c r="H12" s="599">
        <v>182</v>
      </c>
    </row>
    <row r="13" spans="1:18" ht="12">
      <c r="A13" s="363" t="s">
        <v>296</v>
      </c>
      <c r="B13" s="364" t="s">
        <v>297</v>
      </c>
      <c r="C13" s="79">
        <v>306</v>
      </c>
      <c r="D13" s="79">
        <v>271</v>
      </c>
      <c r="E13" s="367" t="s">
        <v>51</v>
      </c>
      <c r="F13" s="368" t="s">
        <v>298</v>
      </c>
      <c r="G13" s="88">
        <f>SUM(G9:G12)</f>
        <v>10001</v>
      </c>
      <c r="H13" s="88">
        <f>SUM(H9:H12)</f>
        <v>9255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184</v>
      </c>
      <c r="D14" s="79">
        <v>408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f>-175-47</f>
        <v>-222</v>
      </c>
      <c r="D15" s="80">
        <v>-65</v>
      </c>
      <c r="E15" s="361" t="s">
        <v>303</v>
      </c>
      <c r="F15" s="370" t="s">
        <v>304</v>
      </c>
      <c r="G15" s="87">
        <v>250</v>
      </c>
      <c r="H15" s="87">
        <v>261</v>
      </c>
    </row>
    <row r="16" spans="1:8" ht="12">
      <c r="A16" s="363" t="s">
        <v>305</v>
      </c>
      <c r="B16" s="364" t="s">
        <v>306</v>
      </c>
      <c r="C16" s="80">
        <v>392</v>
      </c>
      <c r="D16" s="80">
        <v>357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10059</v>
      </c>
      <c r="D19" s="82">
        <f>SUM(D9:D15)+D16</f>
        <v>9126</v>
      </c>
      <c r="E19" s="373" t="s">
        <v>315</v>
      </c>
      <c r="F19" s="369" t="s">
        <v>316</v>
      </c>
      <c r="G19" s="87">
        <v>3</v>
      </c>
      <c r="H19" s="87">
        <v>23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101</v>
      </c>
      <c r="D22" s="79">
        <v>100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12</v>
      </c>
      <c r="D24" s="79">
        <v>14</v>
      </c>
      <c r="E24" s="367" t="s">
        <v>103</v>
      </c>
      <c r="F24" s="370" t="s">
        <v>332</v>
      </c>
      <c r="G24" s="88">
        <f>SUM(G19:G23)</f>
        <v>3</v>
      </c>
      <c r="H24" s="88">
        <f>SUM(H19:H23)</f>
        <v>23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42</v>
      </c>
      <c r="D25" s="79">
        <v>52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155</v>
      </c>
      <c r="D26" s="82">
        <f>SUM(D22:D25)</f>
        <v>166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2.5">
      <c r="A28" s="174" t="s">
        <v>335</v>
      </c>
      <c r="B28" s="357" t="s">
        <v>336</v>
      </c>
      <c r="C28" s="83">
        <f>C26+C19</f>
        <v>10214</v>
      </c>
      <c r="D28" s="83">
        <f>D26+D19</f>
        <v>9292</v>
      </c>
      <c r="E28" s="174" t="s">
        <v>337</v>
      </c>
      <c r="F28" s="370" t="s">
        <v>338</v>
      </c>
      <c r="G28" s="88">
        <f>G13+G15+G24</f>
        <v>10254</v>
      </c>
      <c r="H28" s="88">
        <f>H13+H15+H24</f>
        <v>9539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40</v>
      </c>
      <c r="D30" s="83">
        <f>IF((H28-D28)&gt;0,H28-D28,0)</f>
        <v>247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10214</v>
      </c>
      <c r="D33" s="82">
        <f>D28-D31+D32</f>
        <v>9292</v>
      </c>
      <c r="E33" s="174" t="s">
        <v>351</v>
      </c>
      <c r="F33" s="370" t="s">
        <v>352</v>
      </c>
      <c r="G33" s="90">
        <f>G32-G31+G28</f>
        <v>10254</v>
      </c>
      <c r="H33" s="90">
        <f>H32-H31+H28</f>
        <v>9539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40</v>
      </c>
      <c r="D34" s="83">
        <f>IF((H33-D33)&gt;0,H33-D33,0)</f>
        <v>247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6</v>
      </c>
      <c r="D35" s="82">
        <f>D36+D37+D38</f>
        <v>39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6</v>
      </c>
      <c r="D37" s="537">
        <v>39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12">
      <c r="A39" s="385" t="s">
        <v>365</v>
      </c>
      <c r="B39" s="178" t="s">
        <v>366</v>
      </c>
      <c r="C39" s="570">
        <f>+IF((G33-C33-C35)&gt;0,G33-C33-C35,0)</f>
        <v>34</v>
      </c>
      <c r="D39" s="570">
        <f>+IF((H33-D33-D35)&gt;0,H33-D33-D35,0)</f>
        <v>208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34</v>
      </c>
      <c r="D41" s="85">
        <f>IF(H39=0,IF(D39-D40&gt;0,D39-D40+H40,0),IF(H39-H40&lt;0,H40-H39+D39,0))</f>
        <v>208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10254</v>
      </c>
      <c r="D42" s="86">
        <f>D33+D35+D39</f>
        <v>9539</v>
      </c>
      <c r="E42" s="177" t="s">
        <v>378</v>
      </c>
      <c r="F42" s="178" t="s">
        <v>379</v>
      </c>
      <c r="G42" s="90">
        <f>G39+G33</f>
        <v>10254</v>
      </c>
      <c r="H42" s="90">
        <f>H39+H33</f>
        <v>9539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 t="s">
        <v>862</v>
      </c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3" t="s">
        <v>861</v>
      </c>
      <c r="E46" s="603"/>
      <c r="F46" s="603"/>
      <c r="G46" s="603"/>
      <c r="H46" s="603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D19" sqref="D19"/>
    </sheetView>
  </sheetViews>
  <sheetFormatPr defaultColWidth="9.375" defaultRowHeight="12.75"/>
  <cols>
    <col min="1" max="1" width="61.50390625" style="183" customWidth="1"/>
    <col min="2" max="2" width="17.50390625" style="183" customWidth="1"/>
    <col min="3" max="3" width="17.875" style="422" customWidth="1"/>
    <col min="4" max="4" width="18.625" style="422" customWidth="1"/>
    <col min="5" max="5" width="10.125" style="183" customWidth="1"/>
    <col min="6" max="6" width="12.00390625" style="183" customWidth="1"/>
    <col min="7" max="16384" width="9.37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3.5">
      <c r="A4" s="533" t="s">
        <v>383</v>
      </c>
      <c r="B4" s="533" t="str">
        <f>'справка №1-БАЛАНС'!E3</f>
        <v>"Торготерм"АД</v>
      </c>
      <c r="C4" s="397" t="s">
        <v>2</v>
      </c>
      <c r="D4" s="353">
        <f>'справка №1-БАЛАНС'!H3</f>
        <v>819363984</v>
      </c>
      <c r="E4" s="401"/>
      <c r="F4" s="401"/>
      <c r="G4" s="182"/>
      <c r="H4" s="182"/>
      <c r="I4" s="182"/>
      <c r="J4" s="182"/>
    </row>
    <row r="5" spans="1:10" ht="13.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2.5">
      <c r="A6" s="6" t="s">
        <v>5</v>
      </c>
      <c r="B6" s="533" t="str">
        <f>'справка №1-БАЛАНС'!E5</f>
        <v>01.01.2015 г.-31.12.2015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9888</v>
      </c>
      <c r="D10" s="92">
        <f>9910-23</f>
        <v>9887</v>
      </c>
      <c r="E10" s="181"/>
      <c r="F10" s="181"/>
      <c r="G10" s="182"/>
    </row>
    <row r="11" spans="1:13" ht="12.75">
      <c r="A11" s="410" t="s">
        <v>388</v>
      </c>
      <c r="B11" s="411" t="s">
        <v>389</v>
      </c>
      <c r="C11" s="600">
        <f>-9082+229+360</f>
        <v>-8493</v>
      </c>
      <c r="D11" s="600">
        <f>-8162+280+86</f>
        <v>-7796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12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600">
        <v>-1471</v>
      </c>
      <c r="D13" s="600">
        <v>-1312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.75">
      <c r="A14" s="410" t="s">
        <v>394</v>
      </c>
      <c r="B14" s="411" t="s">
        <v>395</v>
      </c>
      <c r="C14" s="600">
        <v>618</v>
      </c>
      <c r="D14" s="600">
        <v>350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.75">
      <c r="A15" s="412" t="s">
        <v>396</v>
      </c>
      <c r="B15" s="411" t="s">
        <v>397</v>
      </c>
      <c r="C15" s="600"/>
      <c r="D15" s="600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.75">
      <c r="A16" s="413" t="s">
        <v>398</v>
      </c>
      <c r="B16" s="411" t="s">
        <v>399</v>
      </c>
      <c r="C16" s="600">
        <v>2</v>
      </c>
      <c r="D16" s="600">
        <v>23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12.75">
      <c r="A17" s="410" t="s">
        <v>400</v>
      </c>
      <c r="B17" s="411" t="s">
        <v>401</v>
      </c>
      <c r="C17" s="600"/>
      <c r="D17" s="600">
        <f>-15-17</f>
        <v>-32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.75">
      <c r="A18" s="412" t="s">
        <v>402</v>
      </c>
      <c r="B18" s="414" t="s">
        <v>403</v>
      </c>
      <c r="C18" s="600">
        <v>-11</v>
      </c>
      <c r="D18" s="600">
        <v>-12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.75">
      <c r="A19" s="410" t="s">
        <v>404</v>
      </c>
      <c r="B19" s="411" t="s">
        <v>405</v>
      </c>
      <c r="C19" s="600">
        <v>-80</v>
      </c>
      <c r="D19" s="600">
        <v>-98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453</v>
      </c>
      <c r="D20" s="93">
        <f>SUM(D10:D19)</f>
        <v>1010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.75">
      <c r="A22" s="410" t="s">
        <v>409</v>
      </c>
      <c r="B22" s="411" t="s">
        <v>410</v>
      </c>
      <c r="C22" s="600">
        <v>-360</v>
      </c>
      <c r="D22" s="600">
        <f>-525+245</f>
        <v>-280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-360</v>
      </c>
      <c r="D32" s="93">
        <f>SUM(D22:D31)</f>
        <v>-280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886</v>
      </c>
      <c r="D36" s="92">
        <v>57</v>
      </c>
      <c r="E36" s="181"/>
      <c r="F36" s="181"/>
      <c r="G36" s="182"/>
    </row>
    <row r="37" spans="1:7" ht="12.75">
      <c r="A37" s="410" t="s">
        <v>437</v>
      </c>
      <c r="B37" s="411" t="s">
        <v>438</v>
      </c>
      <c r="C37" s="600">
        <v>-780</v>
      </c>
      <c r="D37" s="600">
        <v>-330</v>
      </c>
      <c r="E37" s="181"/>
      <c r="F37" s="181"/>
      <c r="G37" s="182"/>
    </row>
    <row r="38" spans="1:7" ht="12.75">
      <c r="A38" s="410" t="s">
        <v>439</v>
      </c>
      <c r="B38" s="411" t="s">
        <v>440</v>
      </c>
      <c r="C38" s="600">
        <v>-229</v>
      </c>
      <c r="D38" s="600">
        <v>-86</v>
      </c>
      <c r="E38" s="181"/>
      <c r="F38" s="181"/>
      <c r="G38" s="182"/>
    </row>
    <row r="39" spans="1:7" ht="12.75">
      <c r="A39" s="410" t="s">
        <v>441</v>
      </c>
      <c r="B39" s="411" t="s">
        <v>442</v>
      </c>
      <c r="C39" s="600">
        <v>-91</v>
      </c>
      <c r="D39" s="600">
        <f>-89+17</f>
        <v>-72</v>
      </c>
      <c r="E39" s="181"/>
      <c r="F39" s="181"/>
      <c r="G39" s="182"/>
    </row>
    <row r="40" spans="1:7" ht="12.75">
      <c r="A40" s="410" t="s">
        <v>443</v>
      </c>
      <c r="B40" s="411" t="s">
        <v>444</v>
      </c>
      <c r="C40" s="600"/>
      <c r="D40" s="600"/>
      <c r="E40" s="181"/>
      <c r="F40" s="181"/>
      <c r="G40" s="182"/>
    </row>
    <row r="41" spans="1:8" ht="12.75">
      <c r="A41" s="410" t="s">
        <v>445</v>
      </c>
      <c r="B41" s="411" t="s">
        <v>446</v>
      </c>
      <c r="C41" s="600">
        <v>-7</v>
      </c>
      <c r="D41" s="600">
        <v>-5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-221</v>
      </c>
      <c r="D42" s="93">
        <f>SUM(D34:D41)</f>
        <v>-436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-128</v>
      </c>
      <c r="D43" s="93">
        <f>D42+D32+D20</f>
        <v>294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320</v>
      </c>
      <c r="D44" s="184">
        <v>26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192</v>
      </c>
      <c r="D45" s="93">
        <f>D44+D43</f>
        <v>320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192</v>
      </c>
      <c r="D46" s="94">
        <v>320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875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5" t="s">
        <v>862</v>
      </c>
      <c r="D50" s="605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5" t="s">
        <v>861</v>
      </c>
      <c r="D52" s="605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 C34:D41 C22:D31 C14:D19 D12:D13 C10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I20" sqref="I20"/>
    </sheetView>
  </sheetViews>
  <sheetFormatPr defaultColWidth="9.37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06" t="s">
        <v>459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8" t="str">
        <f>'справка №1-БАЛАНС'!E3</f>
        <v>"Торготерм"АД</v>
      </c>
      <c r="D3" s="609"/>
      <c r="E3" s="609"/>
      <c r="F3" s="609"/>
      <c r="G3" s="609"/>
      <c r="H3" s="574"/>
      <c r="I3" s="574"/>
      <c r="J3" s="2"/>
      <c r="K3" s="573" t="s">
        <v>2</v>
      </c>
      <c r="L3" s="573"/>
      <c r="M3" s="592">
        <f>'справка №1-БАЛАНС'!H3</f>
        <v>819363984</v>
      </c>
      <c r="N3" s="3"/>
    </row>
    <row r="4" spans="1:15" s="5" customFormat="1" ht="13.5" customHeight="1">
      <c r="A4" s="6" t="s">
        <v>460</v>
      </c>
      <c r="B4" s="574"/>
      <c r="C4" s="608" t="str">
        <f>'справка №1-БАЛАНС'!E4</f>
        <v>неконсолидиран</v>
      </c>
      <c r="D4" s="608"/>
      <c r="E4" s="610"/>
      <c r="F4" s="608"/>
      <c r="G4" s="608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8" t="str">
        <f>'справка №1-БАЛАНС'!E5</f>
        <v>01.01.2015 г.-31.12.2015 г.</v>
      </c>
      <c r="D5" s="609"/>
      <c r="E5" s="609"/>
      <c r="F5" s="609"/>
      <c r="G5" s="609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57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3000</v>
      </c>
      <c r="D11" s="96">
        <f>'справка №1-БАЛАНС'!H19</f>
        <v>0</v>
      </c>
      <c r="E11" s="96">
        <f>'справка №1-БАЛАНС'!H20</f>
        <v>1346</v>
      </c>
      <c r="F11" s="96">
        <f>'справка №1-БАЛАНС'!H22</f>
        <v>300</v>
      </c>
      <c r="G11" s="96">
        <f>'справка №1-БАЛАНС'!H23</f>
        <v>0</v>
      </c>
      <c r="H11" s="98"/>
      <c r="I11" s="96">
        <f>'справка №1-БАЛАНС'!H28+'справка №1-БАЛАНС'!H31</f>
        <v>1349</v>
      </c>
      <c r="J11" s="96">
        <f>'справка №1-БАЛАНС'!H29+'справка №1-БАЛАНС'!H32</f>
        <v>-441</v>
      </c>
      <c r="K11" s="98"/>
      <c r="L11" s="424">
        <f>SUM(C11:K11)</f>
        <v>5554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3000</v>
      </c>
      <c r="D15" s="99">
        <f aca="true" t="shared" si="2" ref="D15:M15">D11+D12</f>
        <v>0</v>
      </c>
      <c r="E15" s="99">
        <f t="shared" si="2"/>
        <v>1346</v>
      </c>
      <c r="F15" s="99">
        <f t="shared" si="2"/>
        <v>300</v>
      </c>
      <c r="G15" s="99">
        <f t="shared" si="2"/>
        <v>0</v>
      </c>
      <c r="H15" s="99">
        <f t="shared" si="2"/>
        <v>0</v>
      </c>
      <c r="I15" s="99">
        <f t="shared" si="2"/>
        <v>1349</v>
      </c>
      <c r="J15" s="99">
        <f t="shared" si="2"/>
        <v>-441</v>
      </c>
      <c r="K15" s="99">
        <f t="shared" si="2"/>
        <v>0</v>
      </c>
      <c r="L15" s="424">
        <f t="shared" si="1"/>
        <v>5554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34</v>
      </c>
      <c r="J16" s="425">
        <f>+'справка №1-БАЛАНС'!G32</f>
        <v>0</v>
      </c>
      <c r="K16" s="98"/>
      <c r="L16" s="424">
        <f t="shared" si="1"/>
        <v>34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-50</v>
      </c>
      <c r="J17" s="100">
        <f>J18+J19</f>
        <v>0</v>
      </c>
      <c r="K17" s="100">
        <f t="shared" si="3"/>
        <v>0</v>
      </c>
      <c r="L17" s="424">
        <f t="shared" si="1"/>
        <v>-50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>
        <v>-50</v>
      </c>
      <c r="J19" s="98"/>
      <c r="K19" s="98"/>
      <c r="L19" s="424">
        <f t="shared" si="1"/>
        <v>-50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3000</v>
      </c>
      <c r="D29" s="97">
        <f aca="true" t="shared" si="6" ref="D29:M29">D17+D20+D21+D24+D28+D27+D15+D16</f>
        <v>0</v>
      </c>
      <c r="E29" s="97">
        <f t="shared" si="6"/>
        <v>1346</v>
      </c>
      <c r="F29" s="97">
        <f t="shared" si="6"/>
        <v>300</v>
      </c>
      <c r="G29" s="97">
        <f t="shared" si="6"/>
        <v>0</v>
      </c>
      <c r="H29" s="97">
        <f t="shared" si="6"/>
        <v>0</v>
      </c>
      <c r="I29" s="97">
        <f t="shared" si="6"/>
        <v>1333</v>
      </c>
      <c r="J29" s="97">
        <f t="shared" si="6"/>
        <v>-441</v>
      </c>
      <c r="K29" s="97">
        <f t="shared" si="6"/>
        <v>0</v>
      </c>
      <c r="L29" s="424">
        <f t="shared" si="1"/>
        <v>5538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3000</v>
      </c>
      <c r="D32" s="97">
        <f t="shared" si="7"/>
        <v>0</v>
      </c>
      <c r="E32" s="97">
        <f t="shared" si="7"/>
        <v>1346</v>
      </c>
      <c r="F32" s="97">
        <f t="shared" si="7"/>
        <v>300</v>
      </c>
      <c r="G32" s="97">
        <f t="shared" si="7"/>
        <v>0</v>
      </c>
      <c r="H32" s="97">
        <f t="shared" si="7"/>
        <v>0</v>
      </c>
      <c r="I32" s="97">
        <f t="shared" si="7"/>
        <v>1333</v>
      </c>
      <c r="J32" s="97">
        <f t="shared" si="7"/>
        <v>-441</v>
      </c>
      <c r="K32" s="97">
        <f t="shared" si="7"/>
        <v>0</v>
      </c>
      <c r="L32" s="424">
        <f t="shared" si="1"/>
        <v>5538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876</v>
      </c>
      <c r="B35" s="37"/>
      <c r="C35" s="24"/>
      <c r="D35" s="607" t="s">
        <v>860</v>
      </c>
      <c r="E35" s="607"/>
      <c r="F35" s="607"/>
      <c r="G35" s="607"/>
      <c r="H35" s="607"/>
      <c r="I35" s="607"/>
      <c r="J35" s="24" t="s">
        <v>863</v>
      </c>
      <c r="K35" s="24"/>
      <c r="L35" s="607"/>
      <c r="M35" s="607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5">
      <selection activeCell="O46" sqref="O46"/>
    </sheetView>
  </sheetViews>
  <sheetFormatPr defaultColWidth="10.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1" t="s">
        <v>383</v>
      </c>
      <c r="B2" s="612"/>
      <c r="C2" s="585"/>
      <c r="D2" s="585"/>
      <c r="E2" s="608" t="str">
        <f>'справка №1-БАЛАНС'!E3</f>
        <v>"Торготерм"АД</v>
      </c>
      <c r="F2" s="613"/>
      <c r="G2" s="613"/>
      <c r="H2" s="585"/>
      <c r="I2" s="441"/>
      <c r="J2" s="441"/>
      <c r="K2" s="441"/>
      <c r="L2" s="441"/>
      <c r="M2" s="615" t="s">
        <v>2</v>
      </c>
      <c r="N2" s="616"/>
      <c r="O2" s="616"/>
      <c r="P2" s="617">
        <f>'справка №1-БАЛАНС'!H3</f>
        <v>819363984</v>
      </c>
      <c r="Q2" s="617"/>
      <c r="R2" s="353"/>
    </row>
    <row r="3" spans="1:18" ht="13.5">
      <c r="A3" s="611" t="s">
        <v>5</v>
      </c>
      <c r="B3" s="612"/>
      <c r="C3" s="586"/>
      <c r="D3" s="586"/>
      <c r="E3" s="608" t="str">
        <f>'справка №1-БАЛАНС'!E5</f>
        <v>01.01.2015 г.-31.12.2015 г.</v>
      </c>
      <c r="F3" s="614"/>
      <c r="G3" s="614"/>
      <c r="H3" s="443"/>
      <c r="I3" s="443"/>
      <c r="J3" s="443"/>
      <c r="K3" s="443"/>
      <c r="L3" s="443"/>
      <c r="M3" s="618" t="s">
        <v>4</v>
      </c>
      <c r="N3" s="618"/>
      <c r="O3" s="577"/>
      <c r="P3" s="619" t="str">
        <f>'справка №1-БАЛАНС'!H4</f>
        <v> </v>
      </c>
      <c r="Q3" s="619"/>
      <c r="R3" s="354"/>
    </row>
    <row r="4" spans="1:18" ht="12.75">
      <c r="A4" s="436" t="s">
        <v>522</v>
      </c>
      <c r="B4" s="442"/>
      <c r="C4" s="442"/>
      <c r="D4" s="443"/>
      <c r="E4" s="622"/>
      <c r="F4" s="623"/>
      <c r="G4" s="623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4" t="s">
        <v>463</v>
      </c>
      <c r="B5" s="625"/>
      <c r="C5" s="628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0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0" t="s">
        <v>528</v>
      </c>
      <c r="R5" s="620" t="s">
        <v>529</v>
      </c>
    </row>
    <row r="6" spans="1:18" s="44" customFormat="1" ht="45">
      <c r="A6" s="626"/>
      <c r="B6" s="627"/>
      <c r="C6" s="629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1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1"/>
      <c r="R6" s="621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330</v>
      </c>
      <c r="E9" s="243"/>
      <c r="F9" s="243"/>
      <c r="G9" s="113">
        <f>D9+E9-F9</f>
        <v>330</v>
      </c>
      <c r="H9" s="103"/>
      <c r="I9" s="103"/>
      <c r="J9" s="113">
        <f>G9+H9-I9</f>
        <v>330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330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1843</v>
      </c>
      <c r="E10" s="243">
        <v>41</v>
      </c>
      <c r="F10" s="243">
        <v>41</v>
      </c>
      <c r="G10" s="113">
        <f aca="true" t="shared" si="2" ref="G10:G39">D10+E10-F10</f>
        <v>1843</v>
      </c>
      <c r="H10" s="103"/>
      <c r="I10" s="103"/>
      <c r="J10" s="113">
        <f aca="true" t="shared" si="3" ref="J10:J39">G10+H10-I10</f>
        <v>1843</v>
      </c>
      <c r="K10" s="103">
        <v>590</v>
      </c>
      <c r="L10" s="103">
        <v>74</v>
      </c>
      <c r="M10" s="103">
        <v>41</v>
      </c>
      <c r="N10" s="113">
        <f aca="true" t="shared" si="4" ref="N10:N39">K10+L10-M10</f>
        <v>623</v>
      </c>
      <c r="O10" s="103"/>
      <c r="P10" s="103"/>
      <c r="Q10" s="113">
        <f t="shared" si="0"/>
        <v>623</v>
      </c>
      <c r="R10" s="113">
        <f t="shared" si="1"/>
        <v>1220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f>5291+2015+1956</f>
        <v>9262</v>
      </c>
      <c r="E11" s="243">
        <v>984</v>
      </c>
      <c r="F11" s="243">
        <v>38</v>
      </c>
      <c r="G11" s="113">
        <f t="shared" si="2"/>
        <v>10208</v>
      </c>
      <c r="H11" s="103"/>
      <c r="I11" s="103"/>
      <c r="J11" s="113">
        <f t="shared" si="3"/>
        <v>10208</v>
      </c>
      <c r="K11" s="103">
        <v>5876</v>
      </c>
      <c r="L11" s="103">
        <v>611</v>
      </c>
      <c r="M11" s="103">
        <v>38</v>
      </c>
      <c r="N11" s="113">
        <f t="shared" si="4"/>
        <v>6449</v>
      </c>
      <c r="O11" s="103"/>
      <c r="P11" s="103"/>
      <c r="Q11" s="113">
        <f t="shared" si="0"/>
        <v>6449</v>
      </c>
      <c r="R11" s="113">
        <f t="shared" si="1"/>
        <v>3759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381</v>
      </c>
      <c r="E12" s="243">
        <v>7</v>
      </c>
      <c r="F12" s="243"/>
      <c r="G12" s="113">
        <f t="shared" si="2"/>
        <v>388</v>
      </c>
      <c r="H12" s="103"/>
      <c r="I12" s="103"/>
      <c r="J12" s="113">
        <f t="shared" si="3"/>
        <v>388</v>
      </c>
      <c r="K12" s="103">
        <v>255</v>
      </c>
      <c r="L12" s="103">
        <v>19</v>
      </c>
      <c r="M12" s="103"/>
      <c r="N12" s="113">
        <f t="shared" si="4"/>
        <v>274</v>
      </c>
      <c r="O12" s="103"/>
      <c r="P12" s="103"/>
      <c r="Q12" s="113">
        <f t="shared" si="0"/>
        <v>274</v>
      </c>
      <c r="R12" s="113">
        <f t="shared" si="1"/>
        <v>114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269</v>
      </c>
      <c r="E13" s="243"/>
      <c r="F13" s="243">
        <v>46</v>
      </c>
      <c r="G13" s="113">
        <f t="shared" si="2"/>
        <v>223</v>
      </c>
      <c r="H13" s="103"/>
      <c r="I13" s="103"/>
      <c r="J13" s="113">
        <f t="shared" si="3"/>
        <v>223</v>
      </c>
      <c r="K13" s="103">
        <v>176</v>
      </c>
      <c r="L13" s="103">
        <v>21</v>
      </c>
      <c r="M13" s="103">
        <v>26</v>
      </c>
      <c r="N13" s="113">
        <f t="shared" si="4"/>
        <v>171</v>
      </c>
      <c r="O13" s="103"/>
      <c r="P13" s="103"/>
      <c r="Q13" s="113">
        <f t="shared" si="0"/>
        <v>171</v>
      </c>
      <c r="R13" s="113">
        <f t="shared" si="1"/>
        <v>52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f>147+225+174</f>
        <v>546</v>
      </c>
      <c r="E14" s="243">
        <f>39+42+8</f>
        <v>89</v>
      </c>
      <c r="F14" s="243">
        <f>9+17+12</f>
        <v>38</v>
      </c>
      <c r="G14" s="113">
        <f t="shared" si="2"/>
        <v>597</v>
      </c>
      <c r="H14" s="103"/>
      <c r="I14" s="103"/>
      <c r="J14" s="113">
        <f t="shared" si="3"/>
        <v>597</v>
      </c>
      <c r="K14" s="103">
        <f>103+207+150</f>
        <v>460</v>
      </c>
      <c r="L14" s="103">
        <f>17+18+7</f>
        <v>42</v>
      </c>
      <c r="M14" s="103">
        <f>9+16+12</f>
        <v>37</v>
      </c>
      <c r="N14" s="113">
        <f t="shared" si="4"/>
        <v>465</v>
      </c>
      <c r="O14" s="103"/>
      <c r="P14" s="103"/>
      <c r="Q14" s="113">
        <f t="shared" si="0"/>
        <v>465</v>
      </c>
      <c r="R14" s="113">
        <f t="shared" si="1"/>
        <v>132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22</v>
      </c>
      <c r="E15" s="565">
        <v>45</v>
      </c>
      <c r="F15" s="565">
        <v>30</v>
      </c>
      <c r="G15" s="113">
        <f t="shared" si="2"/>
        <v>37</v>
      </c>
      <c r="H15" s="566"/>
      <c r="I15" s="566"/>
      <c r="J15" s="113">
        <f t="shared" si="3"/>
        <v>37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37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12653</v>
      </c>
      <c r="E17" s="248">
        <f>SUM(E9:E16)</f>
        <v>1166</v>
      </c>
      <c r="F17" s="248">
        <f>SUM(F9:F16)</f>
        <v>193</v>
      </c>
      <c r="G17" s="113">
        <f t="shared" si="2"/>
        <v>13626</v>
      </c>
      <c r="H17" s="114">
        <f>SUM(H9:H16)</f>
        <v>0</v>
      </c>
      <c r="I17" s="114">
        <f>SUM(I9:I16)</f>
        <v>0</v>
      </c>
      <c r="J17" s="113">
        <f t="shared" si="3"/>
        <v>13626</v>
      </c>
      <c r="K17" s="114">
        <f>SUM(K9:K16)</f>
        <v>7357</v>
      </c>
      <c r="L17" s="114">
        <f>SUM(L9:L16)</f>
        <v>767</v>
      </c>
      <c r="M17" s="114">
        <f>SUM(M9:M16)</f>
        <v>142</v>
      </c>
      <c r="N17" s="113">
        <f t="shared" si="4"/>
        <v>7982</v>
      </c>
      <c r="O17" s="114">
        <f>SUM(O9:O16)</f>
        <v>0</v>
      </c>
      <c r="P17" s="114">
        <f>SUM(P9:P16)</f>
        <v>0</v>
      </c>
      <c r="Q17" s="113">
        <f t="shared" si="5"/>
        <v>7982</v>
      </c>
      <c r="R17" s="113">
        <f t="shared" si="6"/>
        <v>5644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f>95</f>
        <v>95</v>
      </c>
      <c r="E22" s="243">
        <v>5</v>
      </c>
      <c r="F22" s="243">
        <v>3</v>
      </c>
      <c r="G22" s="113">
        <f t="shared" si="2"/>
        <v>97</v>
      </c>
      <c r="H22" s="103"/>
      <c r="I22" s="103"/>
      <c r="J22" s="113">
        <f t="shared" si="3"/>
        <v>97</v>
      </c>
      <c r="K22" s="103">
        <v>88</v>
      </c>
      <c r="L22" s="103">
        <v>8</v>
      </c>
      <c r="M22" s="103">
        <v>3</v>
      </c>
      <c r="N22" s="113">
        <f t="shared" si="4"/>
        <v>93</v>
      </c>
      <c r="O22" s="103"/>
      <c r="P22" s="103"/>
      <c r="Q22" s="113">
        <f t="shared" si="5"/>
        <v>93</v>
      </c>
      <c r="R22" s="113">
        <f t="shared" si="6"/>
        <v>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95</v>
      </c>
      <c r="E25" s="244">
        <f aca="true" t="shared" si="7" ref="E25:P25">SUM(E21:E24)</f>
        <v>5</v>
      </c>
      <c r="F25" s="244">
        <f t="shared" si="7"/>
        <v>3</v>
      </c>
      <c r="G25" s="105">
        <f t="shared" si="2"/>
        <v>97</v>
      </c>
      <c r="H25" s="104">
        <f t="shared" si="7"/>
        <v>0</v>
      </c>
      <c r="I25" s="104">
        <f t="shared" si="7"/>
        <v>0</v>
      </c>
      <c r="J25" s="105">
        <f t="shared" si="3"/>
        <v>97</v>
      </c>
      <c r="K25" s="104">
        <f t="shared" si="7"/>
        <v>88</v>
      </c>
      <c r="L25" s="104">
        <f t="shared" si="7"/>
        <v>8</v>
      </c>
      <c r="M25" s="104">
        <f t="shared" si="7"/>
        <v>3</v>
      </c>
      <c r="N25" s="105">
        <f t="shared" si="4"/>
        <v>93</v>
      </c>
      <c r="O25" s="104">
        <f t="shared" si="7"/>
        <v>0</v>
      </c>
      <c r="P25" s="104">
        <f t="shared" si="7"/>
        <v>0</v>
      </c>
      <c r="Q25" s="105">
        <f t="shared" si="5"/>
        <v>93</v>
      </c>
      <c r="R25" s="105">
        <f t="shared" si="6"/>
        <v>4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12748</v>
      </c>
      <c r="E40" s="547">
        <f>E17+E18+E19+E25+E38+E39</f>
        <v>1171</v>
      </c>
      <c r="F40" s="547">
        <f aca="true" t="shared" si="13" ref="F40:R40">F17+F18+F19+F25+F38+F39</f>
        <v>196</v>
      </c>
      <c r="G40" s="547">
        <f t="shared" si="13"/>
        <v>13723</v>
      </c>
      <c r="H40" s="547">
        <f t="shared" si="13"/>
        <v>0</v>
      </c>
      <c r="I40" s="547">
        <f t="shared" si="13"/>
        <v>0</v>
      </c>
      <c r="J40" s="547">
        <f t="shared" si="13"/>
        <v>13723</v>
      </c>
      <c r="K40" s="547">
        <f t="shared" si="13"/>
        <v>7445</v>
      </c>
      <c r="L40" s="547">
        <f t="shared" si="13"/>
        <v>775</v>
      </c>
      <c r="M40" s="547">
        <f t="shared" si="13"/>
        <v>145</v>
      </c>
      <c r="N40" s="547">
        <f t="shared" si="13"/>
        <v>8075</v>
      </c>
      <c r="O40" s="547">
        <f t="shared" si="13"/>
        <v>0</v>
      </c>
      <c r="P40" s="547">
        <f t="shared" si="13"/>
        <v>0</v>
      </c>
      <c r="Q40" s="547">
        <f t="shared" si="13"/>
        <v>8075</v>
      </c>
      <c r="R40" s="547">
        <f t="shared" si="13"/>
        <v>5648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877</v>
      </c>
      <c r="C44" s="445"/>
      <c r="D44" s="446"/>
      <c r="E44" s="446"/>
      <c r="F44" s="446"/>
      <c r="G44" s="436"/>
      <c r="H44" s="447" t="s">
        <v>864</v>
      </c>
      <c r="I44" s="447"/>
      <c r="J44" s="447"/>
      <c r="K44" s="630"/>
      <c r="L44" s="630"/>
      <c r="M44" s="630"/>
      <c r="N44" s="630"/>
      <c r="O44" s="616" t="s">
        <v>859</v>
      </c>
      <c r="P44" s="612"/>
      <c r="Q44" s="612"/>
      <c r="R44" s="612"/>
    </row>
    <row r="45" spans="1:18" ht="11.25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1.25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1.25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1.25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1.25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1.25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1.25">
      <c r="D51" s="249"/>
      <c r="E51" s="249"/>
      <c r="F51" s="249"/>
    </row>
    <row r="52" spans="4:6" ht="11.25">
      <c r="D52" s="249"/>
      <c r="E52" s="249"/>
      <c r="F52" s="249"/>
    </row>
    <row r="53" spans="4:6" ht="11.25">
      <c r="D53" s="249"/>
      <c r="E53" s="249"/>
      <c r="F53" s="249"/>
    </row>
    <row r="54" spans="4:6" ht="11.25">
      <c r="D54" s="249"/>
      <c r="E54" s="249"/>
      <c r="F54" s="249"/>
    </row>
    <row r="55" spans="4:6" ht="11.25">
      <c r="D55" s="249"/>
      <c r="E55" s="249"/>
      <c r="F55" s="249"/>
    </row>
    <row r="56" spans="4:6" ht="11.25">
      <c r="D56" s="249"/>
      <c r="E56" s="249"/>
      <c r="F56" s="249"/>
    </row>
    <row r="57" spans="4:6" ht="11.25">
      <c r="D57" s="249"/>
      <c r="E57" s="249"/>
      <c r="F57" s="249"/>
    </row>
    <row r="58" spans="4:6" ht="11.25">
      <c r="D58" s="249"/>
      <c r="E58" s="249"/>
      <c r="F58" s="249"/>
    </row>
    <row r="59" spans="4:6" ht="11.25">
      <c r="D59" s="249"/>
      <c r="E59" s="249"/>
      <c r="F59" s="249"/>
    </row>
    <row r="60" spans="4:6" ht="11.25">
      <c r="D60" s="249"/>
      <c r="E60" s="249"/>
      <c r="F60" s="249"/>
    </row>
    <row r="61" spans="4:6" ht="11.25">
      <c r="D61" s="249"/>
      <c r="E61" s="249"/>
      <c r="F61" s="249"/>
    </row>
    <row r="62" spans="4:6" ht="11.25">
      <c r="D62" s="249"/>
      <c r="E62" s="249"/>
      <c r="F62" s="249"/>
    </row>
    <row r="63" spans="4:6" ht="11.25">
      <c r="D63" s="249"/>
      <c r="E63" s="249"/>
      <c r="F63" s="249"/>
    </row>
    <row r="64" spans="4:6" ht="11.25">
      <c r="D64" s="249"/>
      <c r="E64" s="249"/>
      <c r="F64" s="249"/>
    </row>
    <row r="65" spans="4:6" ht="11.25">
      <c r="D65" s="249"/>
      <c r="E65" s="249"/>
      <c r="F65" s="249"/>
    </row>
    <row r="66" spans="4:6" ht="11.25">
      <c r="D66" s="249"/>
      <c r="E66" s="249"/>
      <c r="F66" s="249"/>
    </row>
    <row r="67" spans="4:6" ht="11.25">
      <c r="D67" s="249"/>
      <c r="E67" s="249"/>
      <c r="F67" s="249"/>
    </row>
    <row r="68" spans="5:6" ht="11.25">
      <c r="E68" s="249"/>
      <c r="F68" s="249"/>
    </row>
    <row r="69" spans="5:6" ht="11.25">
      <c r="E69" s="249"/>
      <c r="F69" s="249"/>
    </row>
    <row r="70" spans="5:6" ht="11.25">
      <c r="E70" s="249"/>
      <c r="F70" s="249"/>
    </row>
    <row r="71" spans="5:6" ht="11.25">
      <c r="E71" s="249"/>
      <c r="F71" s="249"/>
    </row>
    <row r="72" spans="5:6" ht="11.25">
      <c r="E72" s="249"/>
      <c r="F72" s="249"/>
    </row>
    <row r="73" spans="5:6" ht="11.25">
      <c r="E73" s="249"/>
      <c r="F73" s="249"/>
    </row>
    <row r="74" spans="5:6" ht="11.25">
      <c r="E74" s="249"/>
      <c r="F74" s="249"/>
    </row>
    <row r="75" spans="5:6" ht="11.25">
      <c r="E75" s="249"/>
      <c r="F75" s="249"/>
    </row>
    <row r="76" spans="5:6" ht="11.25">
      <c r="E76" s="249"/>
      <c r="F76" s="249"/>
    </row>
    <row r="77" spans="5:6" ht="11.25">
      <c r="E77" s="249"/>
      <c r="F77" s="249"/>
    </row>
    <row r="78" spans="5:6" ht="11.25">
      <c r="E78" s="249"/>
      <c r="F78" s="249"/>
    </row>
    <row r="79" spans="5:6" ht="11.25">
      <c r="E79" s="249"/>
      <c r="F79" s="249"/>
    </row>
    <row r="80" spans="5:6" ht="11.25">
      <c r="E80" s="249"/>
      <c r="F80" s="249"/>
    </row>
    <row r="81" spans="5:6" ht="11.25">
      <c r="E81" s="249"/>
      <c r="F81" s="249"/>
    </row>
    <row r="82" spans="5:6" ht="11.25">
      <c r="E82" s="249"/>
      <c r="F82" s="249"/>
    </row>
    <row r="83" spans="5:6" ht="11.25">
      <c r="E83" s="249"/>
      <c r="F83" s="249"/>
    </row>
    <row r="84" spans="5:6" ht="11.25">
      <c r="E84" s="249"/>
      <c r="F84" s="249"/>
    </row>
    <row r="85" spans="5:6" ht="11.25">
      <c r="E85" s="249"/>
      <c r="F85" s="249"/>
    </row>
    <row r="86" spans="5:6" ht="11.25">
      <c r="E86" s="249"/>
      <c r="F86" s="249"/>
    </row>
    <row r="87" spans="5:6" ht="11.25">
      <c r="E87" s="249"/>
      <c r="F87" s="249"/>
    </row>
    <row r="88" spans="5:6" ht="11.25">
      <c r="E88" s="249"/>
      <c r="F88" s="249"/>
    </row>
    <row r="89" spans="5:6" ht="11.25">
      <c r="E89" s="249"/>
      <c r="F89" s="249"/>
    </row>
    <row r="90" spans="5:6" ht="11.25">
      <c r="E90" s="249"/>
      <c r="F90" s="249"/>
    </row>
    <row r="91" spans="5:6" ht="11.25">
      <c r="E91" s="249"/>
      <c r="F91" s="249"/>
    </row>
    <row r="92" spans="5:6" ht="11.25">
      <c r="E92" s="249"/>
      <c r="F92" s="249"/>
    </row>
    <row r="93" spans="5:6" ht="11.25">
      <c r="E93" s="249"/>
      <c r="F93" s="249"/>
    </row>
    <row r="94" spans="5:6" ht="11.25">
      <c r="E94" s="249"/>
      <c r="F94" s="249"/>
    </row>
    <row r="95" spans="5:6" ht="11.25">
      <c r="E95" s="249"/>
      <c r="F95" s="249"/>
    </row>
    <row r="96" spans="5:6" ht="11.25">
      <c r="E96" s="249"/>
      <c r="F96" s="249"/>
    </row>
    <row r="97" spans="5:6" ht="11.25">
      <c r="E97" s="249"/>
      <c r="F97" s="249"/>
    </row>
    <row r="98" spans="5:6" ht="11.25">
      <c r="E98" s="249"/>
      <c r="F98" s="249"/>
    </row>
    <row r="99" spans="5:6" ht="11.25">
      <c r="E99" s="249"/>
      <c r="F99" s="249"/>
    </row>
    <row r="100" spans="5:6" ht="11.25">
      <c r="E100" s="249"/>
      <c r="F100" s="249"/>
    </row>
    <row r="101" spans="5:6" ht="11.25">
      <c r="E101" s="249"/>
      <c r="F101" s="249"/>
    </row>
    <row r="102" spans="5:6" ht="11.25">
      <c r="E102" s="249"/>
      <c r="F102" s="249"/>
    </row>
    <row r="103" spans="5:6" ht="11.25">
      <c r="E103" s="249"/>
      <c r="F103" s="249"/>
    </row>
    <row r="104" spans="5:6" ht="11.25">
      <c r="E104" s="249"/>
      <c r="F104" s="249"/>
    </row>
    <row r="105" spans="5:6" ht="11.25">
      <c r="E105" s="249"/>
      <c r="F105" s="249"/>
    </row>
    <row r="106" spans="5:6" ht="11.25">
      <c r="E106" s="249"/>
      <c r="F106" s="249"/>
    </row>
    <row r="107" spans="5:6" ht="11.25">
      <c r="E107" s="249"/>
      <c r="F107" s="249"/>
    </row>
    <row r="108" spans="5:6" ht="11.25">
      <c r="E108" s="249"/>
      <c r="F108" s="249"/>
    </row>
    <row r="109" spans="5:6" ht="11.25">
      <c r="E109" s="249"/>
      <c r="F109" s="249"/>
    </row>
    <row r="110" spans="5:6" ht="11.25">
      <c r="E110" s="249"/>
      <c r="F110" s="249"/>
    </row>
    <row r="111" spans="5:6" ht="11.25">
      <c r="E111" s="249"/>
      <c r="F111" s="249"/>
    </row>
    <row r="112" spans="5:6" ht="11.25">
      <c r="E112" s="249"/>
      <c r="F112" s="249"/>
    </row>
    <row r="113" spans="5:6" ht="11.25">
      <c r="E113" s="249"/>
      <c r="F113" s="249"/>
    </row>
    <row r="114" spans="5:6" ht="11.25">
      <c r="E114" s="249"/>
      <c r="F114" s="249"/>
    </row>
    <row r="115" spans="5:6" ht="11.25">
      <c r="E115" s="249"/>
      <c r="F115" s="249"/>
    </row>
    <row r="116" spans="5:6" ht="11.25">
      <c r="E116" s="249"/>
      <c r="F116" s="249"/>
    </row>
    <row r="117" spans="5:6" ht="11.25">
      <c r="E117" s="249"/>
      <c r="F117" s="249"/>
    </row>
    <row r="118" spans="5:6" ht="11.25">
      <c r="E118" s="249"/>
      <c r="F118" s="249"/>
    </row>
    <row r="119" spans="5:6" ht="11.25">
      <c r="E119" s="249"/>
      <c r="F119" s="249"/>
    </row>
    <row r="120" spans="5:6" ht="11.25">
      <c r="E120" s="249"/>
      <c r="F120" s="249"/>
    </row>
    <row r="121" spans="5:6" ht="11.25">
      <c r="E121" s="249"/>
      <c r="F121" s="249"/>
    </row>
    <row r="122" spans="5:6" ht="11.25">
      <c r="E122" s="249"/>
      <c r="F122" s="249"/>
    </row>
    <row r="123" spans="5:6" ht="11.25">
      <c r="E123" s="249"/>
      <c r="F123" s="249"/>
    </row>
    <row r="124" spans="5:6" ht="11.25">
      <c r="E124" s="249"/>
      <c r="F124" s="249"/>
    </row>
    <row r="125" spans="5:6" ht="11.25">
      <c r="E125" s="249"/>
      <c r="F125" s="249"/>
    </row>
    <row r="126" spans="5:6" ht="11.25">
      <c r="E126" s="249"/>
      <c r="F126" s="249"/>
    </row>
    <row r="127" spans="5:6" ht="11.25">
      <c r="E127" s="249"/>
      <c r="F127" s="249"/>
    </row>
    <row r="128" spans="5:6" ht="11.25">
      <c r="E128" s="249"/>
      <c r="F128" s="249"/>
    </row>
    <row r="129" spans="5:6" ht="11.25">
      <c r="E129" s="249"/>
      <c r="F129" s="249"/>
    </row>
    <row r="130" spans="5:6" ht="11.25">
      <c r="E130" s="249"/>
      <c r="F130" s="249"/>
    </row>
    <row r="131" spans="5:6" ht="11.25">
      <c r="E131" s="249"/>
      <c r="F131" s="249"/>
    </row>
    <row r="132" spans="5:6" ht="11.25">
      <c r="E132" s="249"/>
      <c r="F132" s="249"/>
    </row>
    <row r="133" spans="5:6" ht="11.25">
      <c r="E133" s="249"/>
      <c r="F133" s="249"/>
    </row>
    <row r="134" spans="5:6" ht="11.25">
      <c r="E134" s="249"/>
      <c r="F134" s="249"/>
    </row>
    <row r="135" spans="5:6" ht="11.25">
      <c r="E135" s="249"/>
      <c r="F135" s="249"/>
    </row>
    <row r="136" spans="5:6" ht="11.25">
      <c r="E136" s="249"/>
      <c r="F136" s="249"/>
    </row>
    <row r="137" spans="5:6" ht="11.25">
      <c r="E137" s="249"/>
      <c r="F137" s="249"/>
    </row>
    <row r="138" spans="5:6" ht="11.25">
      <c r="E138" s="249"/>
      <c r="F138" s="249"/>
    </row>
    <row r="139" spans="5:6" ht="11.25">
      <c r="E139" s="249"/>
      <c r="F139" s="249"/>
    </row>
    <row r="140" spans="5:6" ht="11.25">
      <c r="E140" s="249"/>
      <c r="F140" s="249"/>
    </row>
    <row r="141" spans="5:6" ht="11.25">
      <c r="E141" s="249"/>
      <c r="F141" s="249"/>
    </row>
    <row r="142" spans="5:6" ht="11.25">
      <c r="E142" s="249"/>
      <c r="F142" s="249"/>
    </row>
    <row r="143" spans="5:6" ht="11.25">
      <c r="E143" s="249"/>
      <c r="F143" s="249"/>
    </row>
    <row r="144" spans="5:6" ht="11.25">
      <c r="E144" s="249"/>
      <c r="F144" s="249"/>
    </row>
    <row r="145" spans="5:6" ht="11.25">
      <c r="E145" s="249"/>
      <c r="F145" s="249"/>
    </row>
    <row r="146" spans="5:6" ht="11.25">
      <c r="E146" s="249"/>
      <c r="F146" s="249"/>
    </row>
    <row r="147" spans="5:6" ht="11.25">
      <c r="E147" s="249"/>
      <c r="F147" s="249"/>
    </row>
    <row r="148" spans="5:6" ht="11.25">
      <c r="E148" s="249"/>
      <c r="F148" s="249"/>
    </row>
    <row r="149" spans="5:6" ht="11.25">
      <c r="E149" s="249"/>
      <c r="F149" s="249"/>
    </row>
    <row r="150" spans="5:6" ht="11.25">
      <c r="E150" s="249"/>
      <c r="F150" s="249"/>
    </row>
    <row r="151" spans="5:6" ht="11.25">
      <c r="E151" s="249"/>
      <c r="F151" s="249"/>
    </row>
    <row r="152" spans="5:6" ht="11.25">
      <c r="E152" s="249"/>
      <c r="F152" s="249"/>
    </row>
    <row r="153" spans="5:6" ht="11.25">
      <c r="E153" s="249"/>
      <c r="F153" s="249"/>
    </row>
    <row r="154" spans="5:6" ht="11.25">
      <c r="E154" s="249"/>
      <c r="F154" s="249"/>
    </row>
    <row r="155" spans="5:6" ht="11.25">
      <c r="E155" s="249"/>
      <c r="F155" s="249"/>
    </row>
    <row r="156" spans="5:6" ht="11.25">
      <c r="E156" s="249"/>
      <c r="F156" s="249"/>
    </row>
    <row r="157" spans="5:6" ht="11.25">
      <c r="E157" s="249"/>
      <c r="F157" s="249"/>
    </row>
    <row r="158" spans="5:6" ht="11.25">
      <c r="E158" s="249"/>
      <c r="F158" s="249"/>
    </row>
    <row r="159" spans="5:6" ht="11.25">
      <c r="E159" s="249"/>
      <c r="F159" s="249"/>
    </row>
    <row r="160" spans="5:6" ht="11.25">
      <c r="E160" s="249"/>
      <c r="F160" s="249"/>
    </row>
    <row r="161" spans="5:6" ht="11.25">
      <c r="E161" s="249"/>
      <c r="F161" s="249"/>
    </row>
    <row r="162" spans="5:6" ht="11.25">
      <c r="E162" s="249"/>
      <c r="F162" s="249"/>
    </row>
    <row r="163" spans="5:6" ht="11.25">
      <c r="E163" s="249"/>
      <c r="F163" s="249"/>
    </row>
    <row r="164" spans="5:6" ht="11.25">
      <c r="E164" s="249"/>
      <c r="F164" s="249"/>
    </row>
    <row r="165" spans="5:6" ht="11.25">
      <c r="E165" s="249"/>
      <c r="F165" s="249"/>
    </row>
    <row r="166" spans="5:6" ht="11.25">
      <c r="E166" s="249"/>
      <c r="F166" s="249"/>
    </row>
    <row r="167" spans="5:6" ht="11.25">
      <c r="E167" s="249"/>
      <c r="F167" s="249"/>
    </row>
    <row r="168" spans="5:6" ht="11.25">
      <c r="E168" s="249"/>
      <c r="F168" s="249"/>
    </row>
    <row r="169" spans="5:6" ht="11.25">
      <c r="E169" s="249"/>
      <c r="F169" s="249"/>
    </row>
    <row r="170" spans="5:6" ht="11.25">
      <c r="E170" s="249"/>
      <c r="F170" s="249"/>
    </row>
    <row r="171" spans="5:6" ht="11.25">
      <c r="E171" s="249"/>
      <c r="F171" s="249"/>
    </row>
    <row r="172" spans="5:6" ht="11.25">
      <c r="E172" s="249"/>
      <c r="F172" s="249"/>
    </row>
    <row r="173" spans="5:6" ht="11.25">
      <c r="E173" s="249"/>
      <c r="F173" s="249"/>
    </row>
    <row r="174" spans="5:6" ht="11.25">
      <c r="E174" s="249"/>
      <c r="F174" s="249"/>
    </row>
    <row r="175" spans="5:6" ht="11.25">
      <c r="E175" s="249"/>
      <c r="F175" s="249"/>
    </row>
    <row r="176" spans="5:6" ht="11.25">
      <c r="E176" s="249"/>
      <c r="F176" s="249"/>
    </row>
    <row r="177" spans="5:6" ht="11.25">
      <c r="E177" s="249"/>
      <c r="F177" s="249"/>
    </row>
    <row r="178" spans="5:6" ht="11.25">
      <c r="E178" s="249"/>
      <c r="F178" s="249"/>
    </row>
    <row r="179" spans="5:6" ht="11.25">
      <c r="E179" s="249"/>
      <c r="F179" s="249"/>
    </row>
    <row r="180" spans="5:6" ht="11.25">
      <c r="E180" s="249"/>
      <c r="F180" s="249"/>
    </row>
    <row r="181" spans="5:6" ht="11.25">
      <c r="E181" s="249"/>
      <c r="F181" s="249"/>
    </row>
    <row r="182" spans="5:6" ht="11.25">
      <c r="E182" s="249"/>
      <c r="F182" s="249"/>
    </row>
    <row r="183" spans="5:6" ht="11.25">
      <c r="E183" s="249"/>
      <c r="F183" s="249"/>
    </row>
    <row r="184" spans="5:6" ht="11.25">
      <c r="E184" s="249"/>
      <c r="F184" s="249"/>
    </row>
    <row r="185" spans="5:6" ht="11.25">
      <c r="E185" s="249"/>
      <c r="F185" s="249"/>
    </row>
    <row r="186" spans="5:6" ht="11.25">
      <c r="E186" s="249"/>
      <c r="F186" s="249"/>
    </row>
    <row r="187" spans="5:6" ht="11.25">
      <c r="E187" s="249"/>
      <c r="F187" s="249"/>
    </row>
    <row r="188" spans="5:6" ht="11.25">
      <c r="E188" s="249"/>
      <c r="F188" s="249"/>
    </row>
    <row r="189" spans="5:6" ht="11.25">
      <c r="E189" s="249"/>
      <c r="F189" s="249"/>
    </row>
    <row r="190" spans="5:6" ht="11.25">
      <c r="E190" s="249"/>
      <c r="F190" s="249"/>
    </row>
    <row r="191" spans="5:6" ht="11.25">
      <c r="E191" s="249"/>
      <c r="F191" s="249"/>
    </row>
    <row r="192" spans="5:6" ht="11.25">
      <c r="E192" s="249"/>
      <c r="F192" s="249"/>
    </row>
    <row r="193" spans="5:6" ht="11.25">
      <c r="E193" s="249"/>
      <c r="F193" s="249"/>
    </row>
    <row r="194" spans="5:6" ht="11.25">
      <c r="E194" s="249"/>
      <c r="F194" s="249"/>
    </row>
    <row r="195" spans="5:6" ht="11.25">
      <c r="E195" s="249"/>
      <c r="F195" s="249"/>
    </row>
    <row r="196" spans="5:6" ht="11.25">
      <c r="E196" s="249"/>
      <c r="F196" s="249"/>
    </row>
    <row r="197" spans="5:6" ht="11.25">
      <c r="E197" s="249"/>
      <c r="F197" s="249"/>
    </row>
    <row r="198" spans="5:6" ht="11.25">
      <c r="E198" s="249"/>
      <c r="F198" s="249"/>
    </row>
    <row r="199" spans="5:6" ht="11.25">
      <c r="E199" s="249"/>
      <c r="F199" s="249"/>
    </row>
    <row r="200" spans="5:6" ht="11.25">
      <c r="E200" s="249"/>
      <c r="F200" s="249"/>
    </row>
    <row r="201" spans="5:6" ht="11.25">
      <c r="E201" s="249"/>
      <c r="F201" s="249"/>
    </row>
    <row r="202" spans="5:6" ht="11.25">
      <c r="E202" s="249"/>
      <c r="F202" s="249"/>
    </row>
    <row r="203" spans="5:6" ht="11.25">
      <c r="E203" s="249"/>
      <c r="F203" s="249"/>
    </row>
    <row r="204" spans="5:6" ht="11.25">
      <c r="E204" s="249"/>
      <c r="F204" s="249"/>
    </row>
    <row r="205" spans="5:6" ht="11.25">
      <c r="E205" s="249"/>
      <c r="F205" s="249"/>
    </row>
    <row r="206" spans="5:6" ht="11.25">
      <c r="E206" s="249"/>
      <c r="F206" s="249"/>
    </row>
    <row r="207" spans="5:6" ht="11.25">
      <c r="E207" s="249"/>
      <c r="F207" s="249"/>
    </row>
    <row r="208" spans="5:6" ht="11.25">
      <c r="E208" s="249"/>
      <c r="F208" s="249"/>
    </row>
    <row r="209" spans="5:6" ht="11.25">
      <c r="E209" s="249"/>
      <c r="F209" s="249"/>
    </row>
    <row r="210" spans="5:6" ht="11.25">
      <c r="E210" s="249"/>
      <c r="F210" s="249"/>
    </row>
    <row r="211" spans="5:6" ht="11.25">
      <c r="E211" s="249"/>
      <c r="F211" s="249"/>
    </row>
    <row r="212" spans="5:6" ht="11.25">
      <c r="E212" s="249"/>
      <c r="F212" s="249"/>
    </row>
    <row r="213" spans="5:6" ht="11.25">
      <c r="E213" s="249"/>
      <c r="F213" s="249"/>
    </row>
    <row r="214" spans="5:6" ht="11.25">
      <c r="E214" s="249"/>
      <c r="F214" s="249"/>
    </row>
    <row r="215" spans="5:6" ht="11.25">
      <c r="E215" s="249"/>
      <c r="F215" s="249"/>
    </row>
    <row r="216" spans="5:6" ht="11.25">
      <c r="E216" s="249"/>
      <c r="F216" s="249"/>
    </row>
    <row r="217" spans="5:6" ht="11.25">
      <c r="E217" s="249"/>
      <c r="F217" s="249"/>
    </row>
    <row r="218" spans="5:6" ht="11.25">
      <c r="E218" s="249"/>
      <c r="F218" s="249"/>
    </row>
    <row r="219" spans="5:6" ht="11.25">
      <c r="E219" s="249"/>
      <c r="F219" s="249"/>
    </row>
    <row r="220" spans="5:6" ht="11.25">
      <c r="E220" s="249"/>
      <c r="F220" s="249"/>
    </row>
    <row r="221" spans="5:6" ht="11.25">
      <c r="E221" s="249"/>
      <c r="F221" s="249"/>
    </row>
    <row r="222" spans="5:6" ht="11.25">
      <c r="E222" s="249"/>
      <c r="F222" s="249"/>
    </row>
    <row r="223" spans="5:6" ht="11.25">
      <c r="E223" s="249"/>
      <c r="F223" s="249"/>
    </row>
    <row r="224" spans="5:6" ht="11.25">
      <c r="E224" s="249"/>
      <c r="F224" s="249"/>
    </row>
    <row r="225" spans="5:6" ht="11.25">
      <c r="E225" s="249"/>
      <c r="F225" s="249"/>
    </row>
    <row r="226" spans="5:6" ht="11.25">
      <c r="E226" s="249"/>
      <c r="F226" s="249"/>
    </row>
    <row r="227" spans="5:6" ht="11.25">
      <c r="E227" s="249"/>
      <c r="F227" s="249"/>
    </row>
    <row r="228" spans="5:6" ht="11.25">
      <c r="E228" s="249"/>
      <c r="F228" s="249"/>
    </row>
    <row r="229" spans="5:6" ht="11.25">
      <c r="E229" s="249"/>
      <c r="F229" s="249"/>
    </row>
    <row r="230" spans="5:6" ht="11.25">
      <c r="E230" s="249"/>
      <c r="F230" s="249"/>
    </row>
    <row r="231" spans="5:6" ht="11.25">
      <c r="E231" s="249"/>
      <c r="F231" s="249"/>
    </row>
    <row r="232" spans="5:6" ht="11.25">
      <c r="E232" s="249"/>
      <c r="F232" s="249"/>
    </row>
  </sheetData>
  <sheetProtection password="CF7A" sheet="1" objects="1" scenarios="1"/>
  <mergeCells count="16">
    <mergeCell ref="O44:R44"/>
    <mergeCell ref="Q5:Q6"/>
    <mergeCell ref="R5:R6"/>
    <mergeCell ref="J5:J6"/>
    <mergeCell ref="E4:G4"/>
    <mergeCell ref="A5:B6"/>
    <mergeCell ref="C5:C6"/>
    <mergeCell ref="K44:N44"/>
    <mergeCell ref="A2:B2"/>
    <mergeCell ref="A3:B3"/>
    <mergeCell ref="E2:G2"/>
    <mergeCell ref="E3:G3"/>
    <mergeCell ref="M2:O2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5">
      <selection activeCell="A107" sqref="A107:F107"/>
    </sheetView>
  </sheetViews>
  <sheetFormatPr defaultColWidth="10.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34" t="s">
        <v>607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"Торготерм"АД</v>
      </c>
      <c r="B3" s="635"/>
      <c r="C3" s="353" t="s">
        <v>2</v>
      </c>
      <c r="E3" s="353">
        <f>'справка №1-БАЛАНС'!H3</f>
        <v>819363984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3.5">
      <c r="A4" s="636" t="str">
        <f>"Отчетен период:"&amp;"           "&amp;'справка №1-БАЛАНС'!E5</f>
        <v>Отчетен период:           01.01.2015 г.-31.12.2015 г.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2.5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59</v>
      </c>
      <c r="D21" s="153"/>
      <c r="E21" s="166">
        <f t="shared" si="0"/>
        <v>59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1301</v>
      </c>
      <c r="D24" s="165">
        <f>SUM(D25:D27)</f>
        <v>1301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1301</v>
      </c>
      <c r="D27" s="153">
        <v>1301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2774</v>
      </c>
      <c r="D28" s="153">
        <v>2774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11</v>
      </c>
      <c r="D29" s="153">
        <v>11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>
        <v>89</v>
      </c>
      <c r="D32" s="153">
        <v>89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160</v>
      </c>
      <c r="D33" s="150">
        <f>SUM(D34:D37)</f>
        <v>160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160</v>
      </c>
      <c r="D35" s="153">
        <v>160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27</v>
      </c>
      <c r="D38" s="150">
        <f>SUM(D39:D42)</f>
        <v>27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27</v>
      </c>
      <c r="D42" s="153">
        <v>27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4362</v>
      </c>
      <c r="D43" s="149">
        <f>D24+D28+D29+D31+D30+D32+D33+D38</f>
        <v>4362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4421</v>
      </c>
      <c r="D44" s="148">
        <f>D43+D21+D19+D9</f>
        <v>4362</v>
      </c>
      <c r="E44" s="164">
        <f>E43+E21+E19+E9</f>
        <v>59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2.5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1762</v>
      </c>
      <c r="D56" s="148">
        <f>D57+D59</f>
        <v>0</v>
      </c>
      <c r="E56" s="165">
        <f t="shared" si="1"/>
        <v>1762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1762</v>
      </c>
      <c r="D57" s="153"/>
      <c r="E57" s="165">
        <f t="shared" si="1"/>
        <v>1762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729</v>
      </c>
      <c r="D64" s="153"/>
      <c r="E64" s="165">
        <f t="shared" si="1"/>
        <v>729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729</v>
      </c>
      <c r="D65" s="154"/>
      <c r="E65" s="165">
        <f t="shared" si="1"/>
        <v>729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2491</v>
      </c>
      <c r="D66" s="148">
        <f>D52+D56+D61+D62+D63+D64</f>
        <v>0</v>
      </c>
      <c r="E66" s="165">
        <f t="shared" si="1"/>
        <v>2491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163</v>
      </c>
      <c r="D68" s="153"/>
      <c r="E68" s="165">
        <f t="shared" si="1"/>
        <v>163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16</v>
      </c>
      <c r="D71" s="150">
        <f>SUM(D72:D74)</f>
        <v>16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16</v>
      </c>
      <c r="D72" s="153">
        <v>16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5</v>
      </c>
      <c r="D75" s="148">
        <f>D76+D78</f>
        <v>5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5</v>
      </c>
      <c r="D76" s="153">
        <v>5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319</v>
      </c>
      <c r="D80" s="148">
        <f>SUM(D81:D84)</f>
        <v>319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>
        <v>319</v>
      </c>
      <c r="D83" s="153">
        <v>319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3356</v>
      </c>
      <c r="D85" s="149">
        <f>SUM(D86:D90)+D94</f>
        <v>3356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3128</v>
      </c>
      <c r="D87" s="153">
        <v>3128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15</v>
      </c>
      <c r="D88" s="153">
        <v>15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132</v>
      </c>
      <c r="D89" s="153">
        <v>132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28</v>
      </c>
      <c r="D90" s="148">
        <f>SUM(D91:D93)</f>
        <v>28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28</v>
      </c>
      <c r="D93" s="153">
        <v>28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53</v>
      </c>
      <c r="D94" s="153">
        <v>53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23</v>
      </c>
      <c r="D95" s="153">
        <v>23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3719</v>
      </c>
      <c r="D96" s="149">
        <f>D85+D80+D75+D71+D95</f>
        <v>3719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6373</v>
      </c>
      <c r="D97" s="149">
        <f>D96+D68+D66</f>
        <v>3719</v>
      </c>
      <c r="E97" s="149">
        <f>E96+E68+E66</f>
        <v>2654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2.5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778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2" t="s">
        <v>878</v>
      </c>
      <c r="B109" s="632"/>
      <c r="C109" s="632" t="s">
        <v>860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1" t="s">
        <v>859</v>
      </c>
      <c r="D111" s="631"/>
      <c r="E111" s="631"/>
      <c r="F111" s="63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2">
      <selection activeCell="D105" sqref="D105"/>
    </sheetView>
  </sheetViews>
  <sheetFormatPr defaultColWidth="10.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34" t="s">
        <v>607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"Торготерм"АД</v>
      </c>
      <c r="B3" s="635"/>
      <c r="C3" s="353" t="s">
        <v>2</v>
      </c>
      <c r="E3" s="353">
        <f>'справка №1-БАЛАНС'!H3</f>
        <v>819363984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3.5">
      <c r="A4" s="636" t="str">
        <f>"Отчетен период:"&amp;"           "&amp;'справка №1-БАЛАНС'!E5</f>
        <v>Отчетен период:           01.01.2015 г.-31.12.2015 г.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866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2.5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1807</v>
      </c>
      <c r="D28" s="153">
        <v>1807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1807</v>
      </c>
      <c r="D43" s="149">
        <f>D24+D28+D29+D31+D30+D32+D33+D38</f>
        <v>1807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1807</v>
      </c>
      <c r="D44" s="148">
        <f>D43+D21+D19+D9</f>
        <v>1807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869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2.5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14</v>
      </c>
      <c r="D85" s="149">
        <f>SUM(D86:D90)+D94</f>
        <v>14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14</v>
      </c>
      <c r="D87" s="153">
        <v>14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14</v>
      </c>
      <c r="D96" s="149">
        <f>D85+D80+D75+D71+D95</f>
        <v>14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14</v>
      </c>
      <c r="D97" s="149">
        <f>D96+D68+D66</f>
        <v>14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2.5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778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2" t="s">
        <v>878</v>
      </c>
      <c r="B109" s="632"/>
      <c r="C109" s="632" t="s">
        <v>860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1" t="s">
        <v>859</v>
      </c>
      <c r="D111" s="631"/>
      <c r="E111" s="631"/>
      <c r="F111" s="63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/>
  <mergeCells count="7">
    <mergeCell ref="C111:F111"/>
    <mergeCell ref="A1:E1"/>
    <mergeCell ref="A3:B3"/>
    <mergeCell ref="A4:B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4">
      <selection activeCell="B104" sqref="B104"/>
    </sheetView>
  </sheetViews>
  <sheetFormatPr defaultColWidth="10.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34" t="s">
        <v>607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"Торготерм"АД</v>
      </c>
      <c r="B3" s="635"/>
      <c r="C3" s="353" t="s">
        <v>2</v>
      </c>
      <c r="E3" s="353">
        <f>'справка №1-БАЛАНС'!H3</f>
        <v>819363984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3.5">
      <c r="A4" s="636" t="str">
        <f>"Отчетен период:"&amp;"           "&amp;'справка №1-БАЛАНС'!E5</f>
        <v>Отчетен период:           01.01.2015 г.-31.12.2015 г.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867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2.5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385</v>
      </c>
      <c r="D28" s="153">
        <v>385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385</v>
      </c>
      <c r="D43" s="149">
        <f>D24+D28+D29+D31+D30+D32+D33+D38</f>
        <v>385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385</v>
      </c>
      <c r="D44" s="148">
        <f>D43+D21+D19+D9</f>
        <v>385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2.5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0</v>
      </c>
      <c r="D85" s="149">
        <f>SUM(D86:D90)+D94</f>
        <v>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0</v>
      </c>
      <c r="D96" s="149">
        <f>D85+D80+D75+D71+D95</f>
        <v>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0</v>
      </c>
      <c r="D97" s="149">
        <f>D96+D68+D66</f>
        <v>0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2.5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778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2" t="s">
        <v>878</v>
      </c>
      <c r="B109" s="632"/>
      <c r="C109" s="632" t="s">
        <v>860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1" t="s">
        <v>859</v>
      </c>
      <c r="D111" s="631"/>
      <c r="E111" s="631"/>
      <c r="F111" s="63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/>
  <mergeCells count="7">
    <mergeCell ref="C111:F111"/>
    <mergeCell ref="A1:E1"/>
    <mergeCell ref="A3:B3"/>
    <mergeCell ref="A4:B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3">
      <selection activeCell="E26" sqref="E26"/>
    </sheetView>
  </sheetViews>
  <sheetFormatPr defaultColWidth="10.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34" t="s">
        <v>607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"Торготерм"АД</v>
      </c>
      <c r="B3" s="635"/>
      <c r="C3" s="353" t="s">
        <v>2</v>
      </c>
      <c r="E3" s="353">
        <f>'справка №1-БАЛАНС'!H3</f>
        <v>819363984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3.5">
      <c r="A4" s="636" t="str">
        <f>"Отчетен период:"&amp;"           "&amp;'справка №1-БАЛАНС'!E5</f>
        <v>Отчетен период:           01.01.2015 г.-31.12.2015 г.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870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2.5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868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2.5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33</v>
      </c>
      <c r="D85" s="149">
        <f>SUM(D86:D90)+D94</f>
        <v>33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33</v>
      </c>
      <c r="D87" s="153">
        <v>33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33</v>
      </c>
      <c r="D96" s="149">
        <f>D85+D80+D75+D71+D95</f>
        <v>33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33</v>
      </c>
      <c r="D97" s="149">
        <f>D96+D68+D66</f>
        <v>33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2.5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778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2" t="s">
        <v>878</v>
      </c>
      <c r="B109" s="632"/>
      <c r="C109" s="632" t="s">
        <v>860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1" t="s">
        <v>859</v>
      </c>
      <c r="D111" s="631"/>
      <c r="E111" s="631"/>
      <c r="F111" s="63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/>
  <mergeCells count="7">
    <mergeCell ref="C111:F111"/>
    <mergeCell ref="A1:E1"/>
    <mergeCell ref="A3:B3"/>
    <mergeCell ref="A4:B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2016-03-25T14:47:58Z</cp:lastPrinted>
  <dcterms:created xsi:type="dcterms:W3CDTF">2000-06-29T12:02:40Z</dcterms:created>
  <dcterms:modified xsi:type="dcterms:W3CDTF">2016-03-25T15:05:48Z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