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<sst xmlns="http://schemas.openxmlformats.org/spreadsheetml/2006/main" count="1051" uniqueCount="869">
  <si>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</si>
  <si>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</si>
  <si>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</si>
  <si>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</si>
  <si>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</si>
  <si>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</si>
  <si>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</si>
  <si>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</si>
  <si>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</si>
  <si>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</si>
  <si>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</si>
  <si>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</si>
  <si>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</si>
  <si>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</si>
  <si>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</si>
  <si>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</si>
  <si>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</si>
  <si>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</si>
  <si>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</si>
  <si>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</si>
  <si>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</si>
  <si>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</si>
  <si>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</si>
  <si>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</si>
  <si>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</si>
  <si>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</si>
  <si>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</si>
  <si>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</si>
  <si>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</si>
  <si>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</si>
  <si>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</si>
  <si>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</si>
  <si>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</si>
  <si>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</si>
  <si>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</si>
  <si>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</si>
  <si>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</si>
  <si>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</si>
  <si>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</si>
  <si>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</si>
  <si>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</si>
  <si>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</si>
  <si>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</si>
  <si>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</si>
  <si>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</si>
  <si>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</si>
  <si>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</si>
  <si>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</si>
  <si>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</si>
  <si>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</si>
  <si>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</si>
  <si>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</si>
  <si>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</si>
  <si>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</si>
  <si>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</si>
  <si>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</si>
  <si>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</si>
  <si>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</si>
  <si>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</si>
  <si>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</si>
  <si>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</si>
  <si>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</si>
  <si>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</si>
  <si>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</si>
  <si>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</si>
  <si>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</si>
  <si>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</si>
  <si>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</si>
  <si>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</si>
  <si>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</si>
  <si>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</si>
  <si>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</si>
  <si>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</si>
  <si>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</si>
  <si>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</si>
  <si>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</si>
  <si>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</si>
  <si>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</si>
  <si>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</si>
  <si>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</si>
  <si>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</si>
  <si>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</si>
  <si>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</si>
  <si>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</si>
  <si>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</si>
  <si>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</si>
  <si>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</si>
  <si>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</si>
  <si>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</si>
  <si>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</si>
  <si>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</si>
  <si>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</si>
  <si>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</si>
  <si>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</si>
  <si>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</si>
  <si>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</si>
  <si>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</si>
  <si>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</si>
  <si>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</si>
  <si>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</si>
  <si>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</si>
  <si>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</si>
  <si>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</si>
  <si>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</si>
  <si>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</si>
  <si>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</si>
  <si>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</si>
  <si>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</si>
  <si>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</si>
  <si>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</si>
  <si>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</si>
  <si>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</si>
  <si>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</si>
  <si>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</si>
  <si>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</si>
  <si>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</si>
  <si>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</si>
  <si>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</si>
  <si>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</si>
  <si>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</si>
  <si>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</si>
  <si>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</si>
  <si>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</si>
  <si>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</si>
  <si>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</si>
  <si>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</si>
  <si>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</si>
  <si>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</si>
  <si>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</si>
  <si>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</si>
  <si>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</si>
  <si>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</si>
  <si>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</si>
  <si>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</si>
  <si>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</si>
  <si>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</si>
  <si>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</si>
  <si>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</si>
  <si>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</si>
  <si>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</si>
  <si>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</si>
  <si>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</si>
  <si>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</si>
  <si>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</si>
  <si>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</si>
  <si>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</si>
  <si>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</si>
  <si>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</si>
  <si>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</si>
  <si>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</si>
  <si>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</si>
  <si>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</si>
  <si>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</si>
  <si>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</si>
  <si>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</si>
  <si>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</si>
  <si>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</si>
  <si>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</si>
  <si>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</si>
  <si>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</si>
  <si>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</si>
  <si>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</si>
  <si>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</si>
  <si>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</si>
  <si>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</si>
  <si>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</si>
  <si>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</si>
  <si>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</si>
  <si>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</si>
  <si>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</si>
  <si>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</si>
  <si>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</si>
  <si>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</si>
  <si>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</si>
  <si>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</si>
  <si>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</si>
  <si>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</si>
  <si>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</si>
  <si>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</si>
  <si>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</si>
  <si>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</si>
  <si>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</si>
  <si>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</si>
  <si>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</si>
  <si>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</si>
  <si>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</si>
  <si>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</si>
  <si>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</si>
  <si>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</si>
  <si>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</si>
  <si>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</si>
  <si>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</si>
  <si>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</si>
  <si>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</si>
  <si>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</si>
  <si>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</si>
  <si>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</si>
  <si>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</si>
  <si>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</si>
  <si>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</si>
  <si>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</si>
  <si>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</si>
  <si>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</si>
  <si>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</si>
  <si>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</si>
  <si>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</si>
  <si>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</si>
  <si>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</si>
  <si>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</si>
  <si>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</si>
  <si>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</si>
  <si>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</si>
  <si>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</si>
  <si>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</si>
  <si>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</si>
  <si>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</si>
  <si>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</si>
  <si>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</si>
  <si>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</si>
  <si>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</si>
  <si>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</si>
  <si>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</si>
  <si>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</si>
  <si>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</si>
  <si>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</si>
  <si>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</si>
  <si>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</si>
  <si>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</si>
  <si>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</si>
  <si>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</si>
  <si>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</si>
  <si>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</si>
  <si>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</si>
  <si>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</si>
  <si>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</si>
  <si>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</si>
  <si>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</si>
  <si>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</si>
  <si>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</si>
  <si>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</si>
  <si>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</si>
  <si>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</si>
  <si>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</si>
  <si>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</si>
  <si>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</si>
  <si>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</si>
  <si>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</si>
  <si>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</si>
  <si>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</si>
  <si>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</si>
  <si>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</si>
  <si>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</si>
  <si>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</si>
  <si>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</si>
  <si>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</si>
  <si>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</si>
  <si>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</si>
  <si>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</si>
  <si>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</si>
  <si>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</si>
  <si>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</si>
  <si>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</si>
  <si>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</si>
  <si>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</si>
  <si>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</si>
  <si>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</si>
  <si>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</si>
  <si>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</si>
  <si>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</si>
  <si>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</si>
  <si>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</si>
  <si>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</si>
  <si>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</si>
  <si>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</si>
  <si>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</si>
  <si>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</si>
  <si>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</si>
  <si>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</si>
  <si>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</si>
  <si>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</si>
  <si>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</si>
  <si>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</si>
  <si>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</si>
  <si>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</si>
  <si>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</si>
  <si>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</si>
  <si>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</si>
  <si>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</si>
  <si>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</si>
  <si>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</si>
  <si>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</si>
  <si>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</si>
  <si>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</si>
  <si>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</si>
  <si>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</si>
  <si>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</si>
  <si>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</si>
  <si>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</si>
  <si>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</si>
  <si>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</si>
  <si>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</si>
  <si>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</si>
  <si>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</si>
  <si>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</si>
  <si>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</si>
  <si>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</si>
  <si>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</si>
  <si>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</si>
  <si>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</si>
  <si>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</si>
  <si>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</si>
  <si>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</si>
  <si>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</si>
  <si>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</si>
  <si>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</si>
  <si>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</si>
  <si>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</si>
  <si>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</si>
  <si>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</si>
  <si>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</si>
  <si>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</si>
  <si>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</si>
  <si>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</si>
  <si>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</si>
  <si>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</si>
  <si>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</si>
  <si>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</si>
  <si>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</si>
  <si>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</si>
  <si>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</si>
  <si>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</si>
  <si>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</si>
  <si>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</si>
  <si>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</si>
  <si>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</si>
  <si>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</si>
  <si>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</si>
  <si>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</si>
  <si>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</si>
  <si>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</si>
  <si>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</si>
  <si>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</si>
  <si>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</si>
  <si>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</si>
  <si>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</si>
  <si>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</si>
  <si>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</si>
  <si>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</si>
  <si>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</si>
  <si>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</si>
  <si>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</si>
  <si>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</si>
  <si>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</si>
  <si>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</si>
  <si>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</si>
  <si>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</si>
  <si>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</si>
  <si>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</si>
  <si>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</si>
  <si>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</si>
  <si>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</si>
  <si>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</si>
  <si>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</si>
  <si>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</si>
  <si>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</si>
  <si>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</si>
  <si>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</si>
  <si>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</si>
  <si>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</si>
  <si>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</si>
  <si>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</si>
  <si>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</si>
  <si>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</si>
  <si>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</si>
  <si>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</si>
  <si>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</si>
  <si>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</si>
  <si>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</si>
  <si>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</si>
  <si>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</si>
  <si>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</si>
  <si>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</si>
  <si>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</si>
  <si>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</si>
  <si>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</si>
  <si>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</si>
  <si>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</si>
  <si>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</si>
  <si>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</si>
  <si>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</si>
  <si>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</si>
  <si>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</si>
  <si>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</si>
  <si>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</si>
  <si>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</si>
  <si>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</si>
  <si>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</si>
  <si>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</si>
  <si>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</si>
  <si>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</si>
  <si>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</si>
  <si>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</si>
  <si>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</si>
  <si>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</si>
  <si>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</si>
  <si>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</si>
  <si>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</si>
  <si>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</si>
  <si>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</si>
  <si>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</si>
  <si>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</si>
  <si>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</si>
  <si>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</si>
  <si>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</si>
  <si>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</si>
  <si>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</si>
  <si>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</si>
  <si>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</si>
  <si>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</si>
  <si>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</si>
  <si>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</si>
  <si>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</si>
  <si>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</si>
  <si>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</si>
  <si>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</si>
  <si>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</si>
  <si>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</si>
  <si>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</si>
  <si>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</si>
  <si>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</si>
  <si>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</si>
  <si>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</si>
  <si>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</si>
  <si>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</si>
  <si>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</si>
  <si>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</si>
  <si>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</si>
  <si>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</si>
  <si>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</si>
  <si>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</si>
  <si>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</si>
  <si>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</si>
  <si>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</si>
  <si>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</si>
  <si>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</si>
  <si>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</si>
  <si>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</si>
  <si>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</si>
  <si>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</si>
  <si>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</si>
  <si>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</si>
  <si>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</si>
  <si>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</si>
  <si>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</si>
  <si>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</si>
  <si>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</si>
  <si>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</si>
  <si>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</si>
  <si>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</si>
  <si>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</si>
  <si>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</si>
  <si>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</si>
  <si>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</si>
  <si>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</si>
  <si>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</si>
  <si>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</si>
  <si>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</si>
  <si>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</si>
  <si>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</si>
  <si>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</si>
  <si>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</si>
  <si>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</si>
  <si>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</si>
  <si>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</si>
  <si>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</si>
  <si>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</si>
  <si>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</si>
  <si>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</si>
  <si>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</si>
  <si>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</si>
  <si>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</si>
  <si>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</si>
  <si>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</si>
  <si>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</si>
  <si>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</si>
  <si>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</si>
  <si>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</si>
  <si>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</si>
  <si>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</si>
  <si>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</si>
  <si>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</si>
  <si>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</si>
  <si>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</si>
  <si>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</si>
  <si>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</si>
  <si>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</si>
  <si>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</si>
  <si>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</si>
  <si>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</si>
  <si>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</si>
  <si>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</si>
  <si>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</si>
  <si>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</si>
  <si>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</si>
  <si>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</si>
  <si>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</si>
  <si>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</si>
  <si>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</si>
  <si>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</si>
  <si>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</si>
  <si>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</si>
  <si>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</si>
  <si>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</si>
  <si>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</si>
  <si>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</si>
  <si>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</si>
  <si>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</si>
  <si>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</si>
  <si>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</si>
  <si>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</si>
  <si>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</si>
  <si>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</si>
  <si>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</si>
  <si>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</si>
  <si>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</si>
  <si>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</si>
  <si>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</si>
  <si>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</si>
  <si>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</si>
  <si>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</si>
  <si>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</si>
  <si>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</si>
  <si>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</si>
  <si>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</si>
  <si>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</si>
  <si>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</si>
  <si>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</si>
  <si>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</si>
  <si>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</si>
  <si>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</si>
  <si>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</si>
  <si>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</si>
  <si>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</si>
  <si>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</si>
  <si>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</si>
  <si>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</si>
  <si>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</si>
  <si>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</si>
  <si>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</si>
  <si>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</si>
  <si>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</si>
  <si>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</si>
  <si>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</si>
  <si>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</si>
  <si>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</si>
  <si>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</si>
  <si>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</si>
  <si>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</si>
  <si>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</si>
  <si>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</si>
  <si>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</si>
  <si>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</si>
  <si>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</si>
  <si>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</si>
  <si>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</si>
  <si>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</si>
  <si>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</si>
  <si>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</si>
  <si>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</si>
  <si>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</si>
  <si>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</si>
  <si>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</si>
  <si>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</si>
  <si>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</si>
  <si>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</si>
  <si>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</si>
  <si>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</si>
  <si>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</si>
  <si>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</si>
  <si>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</si>
  <si>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</si>
  <si>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</si>
  <si>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</si>
  <si>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</si>
  <si>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</si>
  <si>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</si>
  <si>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</si>
  <si>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</si>
  <si>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</si>
  <si>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</si>
  <si>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</si>
  <si>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</si>
  <si>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</si>
  <si>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</si>
  <si>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</si>
  <si>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</si>
  <si>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</si>
  <si>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</si>
  <si>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</si>
  <si>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</si>
  <si>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</si>
  <si>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</si>
  <si>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</si>
  <si>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</si>
  <si>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</si>
  <si>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</si>
  <si>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</si>
  <si>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</si>
  <si>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</si>
  <si>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</si>
  <si>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</si>
  <si>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</si>
  <si>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</si>
  <si>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</si>
  <si>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</si>
  <si>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</si>
  <si>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</si>
  <si>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</si>
  <si>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</si>
  <si>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</si>
  <si>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</si>
  <si>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</si>
  <si>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</si>
  <si>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</si>
  <si>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</si>
  <si>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</si>
  <si>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</si>
  <si>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</si>
  <si>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</si>
  <si>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</si>
  <si>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</si>
  <si>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</si>
  <si>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</si>
  <si>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</si>
  <si>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</si>
  <si>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</si>
  <si>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</si>
  <si>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</si>
  <si>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</si>
  <si>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</si>
  <si>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</si>
  <si>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</si>
  <si>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</si>
  <si>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</si>
  <si>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</si>
  <si>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</si>
  <si>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</si>
  <si>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</si>
  <si>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</si>
  <si>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</si>
  <si>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</si>
  <si>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</si>
  <si>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</si>
  <si>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</si>
  <si>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</si>
  <si>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</si>
  <si>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</si>
  <si>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</si>
  <si>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</si>
  <si>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</si>
  <si>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</si>
  <si>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</si>
  <si>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</si>
  <si>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</si>
  <si>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</si>
  <si>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</si>
  <si>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</si>
  <si>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</si>
  <si>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</si>
  <si>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</si>
  <si>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</si>
  <si>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</si>
  <si>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</si>
  <si>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</si>
  <si>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</si>
  <si>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</si>
  <si>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</si>
  <si>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</si>
  <si>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</si>
  <si>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</si>
  <si>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</si>
  <si>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</si>
  <si>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</si>
  <si>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</si>
  <si>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</si>
  <si>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</si>
  <si>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</si>
  <si>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</si>
  <si>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</si>
  <si>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</si>
  <si>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</si>
  <si>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</si>
  <si>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</si>
  <si>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</si>
  <si>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</si>
  <si>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</si>
  <si>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</si>
  <si>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</si>
  <si>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</si>
  <si>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</si>
  <si>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</si>
  <si>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</si>
  <si>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</si>
  <si>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</si>
  <si>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</si>
  <si>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</si>
  <si>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</si>
  <si>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</si>
  <si>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</si>
  <si>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</si>
  <si>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</si>
  <si>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</si>
  <si>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</si>
  <si>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</si>
  <si>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</si>
  <si>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</si>
  <si>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</si>
  <si>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</si>
  <si>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</si>
  <si>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</si>
  <si>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</si>
  <si>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</si>
  <si>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</si>
  <si>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</si>
  <si>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</si>
  <si>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</si>
  <si>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</si>
  <si>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</si>
  <si>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</si>
  <si>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</si>
  <si>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</si>
  <si>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</si>
  <si>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</si>
  <si>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</si>
  <si>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</si>
  <si>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</si>
  <si>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</si>
  <si>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</si>
  <si>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</si>
  <si>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</si>
  <si>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</si>
  <si>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</si>
  <si>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</si>
  <si>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</si>
  <si>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</si>
  <si>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</si>
  <si>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</si>
  <si>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</si>
  <si>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</si>
  <si>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</si>
  <si>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</si>
  <si>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</si>
  <si>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</si>
  <si>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</si>
  <si>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</si>
  <si>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</si>
  <si>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</si>
  <si>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</si>
  <si>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</si>
  <si>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</si>
  <si>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</si>
  <si>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</si>
  <si>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</si>
  <si>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</si>
  <si>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</si>
  <si>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</si>
  <si>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</si>
  <si>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</si>
  <si>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</si>
  <si>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</si>
  <si>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</si>
  <si>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</si>
  <si>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</si>
  <si>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</si>
  <si>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</si>
  <si>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</si>
  <si>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</si>
  <si>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</si>
  <si>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</si>
  <si>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</si>
  <si>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</si>
  <si>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</si>
  <si>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</si>
  <si>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</si>
  <si>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</si>
  <si>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</si>
  <si>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</si>
  <si>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</si>
  <si>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</si>
  <si>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</si>
  <si>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</si>
  <si>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</si>
  <si>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</si>
  <si>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</si>
  <si>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</si>
  <si>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</si>
  <si>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</si>
  <si>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</si>
  <si>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</si>
  <si>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</si>
  <si>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</si>
  <si>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</si>
  <si>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</si>
  <si>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</si>
  <si>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</si>
  <si>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</si>
  <si>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</si>
  <si>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</si>
  <si>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</si>
  <si>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</si>
  <si>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</si>
  <si>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</si>
  <si>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</si>
  <si>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</si>
  <si>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</si>
  <si>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</si>
  <si>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</si>
  <si>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</si>
  <si>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</si>
  <si>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</si>
  <si>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</si>
  <si>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</si>
  <si>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</si>
  <si>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</si>
  <si>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</si>
  <si>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</si>
  <si>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</si>
  <si>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</si>
  <si>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</si>
  <si>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</si>
  <si>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</si>
  <si>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</si>
  <si>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</si>
  <si>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</si>
  <si>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</si>
  <si>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</si>
  <si>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</si>
  <si>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</si>
  <si>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</si>
  <si>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</si>
  <si>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</si>
  <si>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</si>
  <si>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</si>
  <si>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</si>
  <si>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</si>
  <si>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</si>
  <si>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</si>
  <si>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</si>
  <si>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</si>
  <si>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</si>
  <si>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</si>
  <si>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</si>
  <si>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</si>
  <si>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</si>
  <si>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</si>
  <si>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</si>
  <si>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</si>
  <si>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</si>
  <si>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</si>
  <si>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</si>
  <si>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</si>
  <si>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</si>
  <si>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</si>
  <si>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</si>
  <si>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</si>
  <si>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</si>
  <si>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</si>
  <si>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</si>
  <si>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Компания за развитие Смолян ООД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</si>
</sst>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11" fillId="0" borderId="0" xfId="65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59" applyNumberFormat="1" applyFont="1" applyAlignment="1" applyProtection="1">
      <alignment vertical="center" wrapText="1"/>
      <protection locked="0"/>
    </xf>
    <xf numFmtId="14" fontId="4" fillId="0" borderId="0" xfId="60" applyNumberFormat="1" applyFont="1" applyProtection="1">
      <alignment/>
      <protection locked="0"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>
      <alignment horizontal="right" vertical="justify"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3" fontId="11" fillId="0" borderId="0" xfId="64" applyNumberFormat="1" applyFont="1" applyFill="1" applyAlignment="1" applyProtection="1">
      <alignment wrapText="1"/>
      <protection locked="0"/>
    </xf>
    <xf numFmtId="1" fontId="11" fillId="0" borderId="0" xfId="61" applyNumberFormat="1" applyFont="1" applyAlignment="1" applyProtection="1">
      <alignment/>
      <protection locked="0"/>
    </xf>
    <xf numFmtId="1" fontId="5" fillId="0" borderId="0" xfId="63" applyNumberFormat="1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1" fontId="11" fillId="0" borderId="0" xfId="64" applyNumberFormat="1" applyFont="1" applyFill="1" applyAlignment="1" applyProtection="1">
      <alignment horizontal="center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B1">
      <selection activeCell="E85" sqref="E85"/>
    </sheetView>
  </sheetViews>
  <sheetFormatPr defaultColWidth="9.25390625" defaultRowHeight="12.75"/>
  <cols>
    <col min="1" max="1" width="43.75390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75390625" style="163" customWidth="1"/>
    <col min="6" max="6" width="9.375" style="168" customWidth="1"/>
    <col min="7" max="7" width="12.75390625" style="163" customWidth="1"/>
    <col min="8" max="8" width="18.75390625" style="169" customWidth="1"/>
    <col min="9" max="9" width="3.375" style="143" customWidth="1"/>
    <col min="10" max="16384" width="9.2539062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78" t="s">
        <v>1</v>
      </c>
      <c r="B3" s="579"/>
      <c r="C3" s="579"/>
      <c r="D3" s="579"/>
      <c r="E3" s="452" t="s">
        <v>864</v>
      </c>
      <c r="F3" s="211" t="s">
        <v>2</v>
      </c>
      <c r="G3" s="166"/>
      <c r="H3" s="451">
        <v>121554961</v>
      </c>
    </row>
    <row r="4" spans="1:8" ht="15">
      <c r="A4" s="578" t="s">
        <v>865</v>
      </c>
      <c r="B4" s="584"/>
      <c r="C4" s="584"/>
      <c r="D4" s="584"/>
      <c r="E4" s="494" t="s">
        <v>866</v>
      </c>
      <c r="F4" s="580" t="s">
        <v>3</v>
      </c>
      <c r="G4" s="581"/>
      <c r="H4" s="451" t="s">
        <v>158</v>
      </c>
    </row>
    <row r="5" spans="1:8" ht="15">
      <c r="A5" s="578" t="s">
        <v>4</v>
      </c>
      <c r="B5" s="579"/>
      <c r="C5" s="579"/>
      <c r="D5" s="579"/>
      <c r="E5" s="495">
        <v>40633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1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25800</v>
      </c>
      <c r="H11" s="146">
        <v>25800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>
        <f>+'справка №5'!R11</f>
        <v>16</v>
      </c>
      <c r="D13" s="145">
        <v>19</v>
      </c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/>
      <c r="D15" s="145"/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f>+'справка №5'!R14</f>
        <v>159</v>
      </c>
      <c r="D16" s="145">
        <v>168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25800</v>
      </c>
      <c r="H17" s="148">
        <f>H11+H14+H15+H16</f>
        <v>25800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175</v>
      </c>
      <c r="D19" s="149">
        <f>SUM(D11:D18)</f>
        <v>187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741</v>
      </c>
      <c r="H21" s="150">
        <f>SUM(H22:H24)</f>
        <v>741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741</v>
      </c>
      <c r="H22" s="146">
        <v>741</v>
      </c>
    </row>
    <row r="23" spans="1:13" ht="15">
      <c r="A23" s="229" t="s">
        <v>65</v>
      </c>
      <c r="B23" s="235" t="s">
        <v>66</v>
      </c>
      <c r="C23" s="145">
        <f>+'справка №5'!R21</f>
        <v>319</v>
      </c>
      <c r="D23" s="145">
        <v>252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f>+'справка №5'!R22</f>
        <v>314</v>
      </c>
      <c r="D24" s="145">
        <v>276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741</v>
      </c>
      <c r="H25" s="148">
        <f>H19+H20+H21</f>
        <v>741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f>+'справка №5'!R24</f>
        <v>35</v>
      </c>
      <c r="D26" s="145">
        <v>42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668</v>
      </c>
      <c r="D27" s="149">
        <f>SUM(D23:D26)</f>
        <v>570</v>
      </c>
      <c r="E27" s="247" t="s">
        <v>82</v>
      </c>
      <c r="F27" s="236" t="s">
        <v>83</v>
      </c>
      <c r="G27" s="148">
        <f>SUM(G28:G30)</f>
        <v>-2191</v>
      </c>
      <c r="H27" s="148">
        <f>SUM(H28:H30)</f>
        <v>-2474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/>
      <c r="H28" s="146"/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>
        <f>+H33</f>
        <v>-2191</v>
      </c>
      <c r="H29" s="310">
        <f>-2635+161</f>
        <v>-2474</v>
      </c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/>
      <c r="H31" s="146">
        <v>283</v>
      </c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>
        <v>-479</v>
      </c>
      <c r="H32" s="310"/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-2670</v>
      </c>
      <c r="H33" s="148">
        <f>H27+H31+H32</f>
        <v>-2191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23871</v>
      </c>
      <c r="H36" s="148">
        <f>H25+H17+H33</f>
        <v>24350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1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5293</v>
      </c>
      <c r="H43" s="146">
        <v>5213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>
        <v>17850</v>
      </c>
      <c r="H44" s="146">
        <v>2593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>
        <v>32910</v>
      </c>
      <c r="H47" s="146">
        <v>32856</v>
      </c>
      <c r="M47" s="151"/>
    </row>
    <row r="48" spans="1:8" ht="15">
      <c r="A48" s="229" t="s">
        <v>146</v>
      </c>
      <c r="B48" s="238" t="s">
        <v>147</v>
      </c>
      <c r="C48" s="145">
        <v>10020</v>
      </c>
      <c r="D48" s="145">
        <v>10483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56053</v>
      </c>
      <c r="H49" s="148">
        <f>SUM(H43:H48)</f>
        <v>40662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15">
      <c r="A51" s="229" t="s">
        <v>154</v>
      </c>
      <c r="B51" s="243" t="s">
        <v>155</v>
      </c>
      <c r="C51" s="149">
        <f>SUM(C47:C50)</f>
        <v>10020</v>
      </c>
      <c r="D51" s="149">
        <f>SUM(D47:D50)</f>
        <v>10483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>
        <v>223</v>
      </c>
      <c r="D53" s="145">
        <v>254</v>
      </c>
      <c r="E53" s="231" t="s">
        <v>163</v>
      </c>
      <c r="F53" s="239" t="s">
        <v>164</v>
      </c>
      <c r="G53" s="146"/>
      <c r="H53" s="146"/>
    </row>
    <row r="54" spans="1:8" ht="15">
      <c r="A54" s="229" t="s">
        <v>165</v>
      </c>
      <c r="B54" s="243" t="s">
        <v>166</v>
      </c>
      <c r="C54" s="145">
        <v>306</v>
      </c>
      <c r="D54" s="145">
        <v>306</v>
      </c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11392</v>
      </c>
      <c r="D55" s="149">
        <f>D19+D20+D21+D27+D32+D45+D51+D53+D54</f>
        <v>11800</v>
      </c>
      <c r="E55" s="231" t="s">
        <v>171</v>
      </c>
      <c r="F55" s="255" t="s">
        <v>172</v>
      </c>
      <c r="G55" s="148">
        <f>G49+G51+G52+G53+G54</f>
        <v>56053</v>
      </c>
      <c r="H55" s="148">
        <f>H49+H51+H52+H53+H54</f>
        <v>40662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1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>
        <v>39693</v>
      </c>
      <c r="H59" s="146">
        <v>62930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v>6590</v>
      </c>
      <c r="H60" s="146">
        <v>5878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5202</v>
      </c>
      <c r="H61" s="148">
        <f>SUM(H62:H68)</f>
        <v>5331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v>3876</v>
      </c>
      <c r="H62" s="146">
        <v>3756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300</v>
      </c>
      <c r="H64" s="146">
        <v>358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>
        <v>214</v>
      </c>
      <c r="H65" s="146">
        <v>273</v>
      </c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519</v>
      </c>
      <c r="H66" s="146">
        <v>605</v>
      </c>
    </row>
    <row r="67" spans="1:8" ht="15">
      <c r="A67" s="229" t="s">
        <v>206</v>
      </c>
      <c r="B67" s="235" t="s">
        <v>207</v>
      </c>
      <c r="C67" s="145">
        <v>1898</v>
      </c>
      <c r="D67" s="145">
        <v>1560</v>
      </c>
      <c r="E67" s="231" t="s">
        <v>208</v>
      </c>
      <c r="F67" s="236" t="s">
        <v>209</v>
      </c>
      <c r="G67" s="146">
        <v>211</v>
      </c>
      <c r="H67" s="146">
        <v>241</v>
      </c>
    </row>
    <row r="68" spans="1:8" ht="15">
      <c r="A68" s="229" t="s">
        <v>210</v>
      </c>
      <c r="B68" s="235" t="s">
        <v>211</v>
      </c>
      <c r="C68" s="145">
        <v>196</v>
      </c>
      <c r="D68" s="145">
        <v>250</v>
      </c>
      <c r="E68" s="231" t="s">
        <v>212</v>
      </c>
      <c r="F68" s="236" t="s">
        <v>213</v>
      </c>
      <c r="G68" s="146">
        <v>82</v>
      </c>
      <c r="H68" s="146">
        <v>98</v>
      </c>
    </row>
    <row r="69" spans="1:8" ht="15">
      <c r="A69" s="229" t="s">
        <v>214</v>
      </c>
      <c r="B69" s="235" t="s">
        <v>215</v>
      </c>
      <c r="C69" s="145">
        <v>2100</v>
      </c>
      <c r="D69" s="145">
        <v>3146</v>
      </c>
      <c r="E69" s="245" t="s">
        <v>77</v>
      </c>
      <c r="F69" s="236" t="s">
        <v>216</v>
      </c>
      <c r="G69" s="146">
        <v>1483</v>
      </c>
      <c r="H69" s="146">
        <v>1675</v>
      </c>
    </row>
    <row r="70" spans="1:8" ht="15">
      <c r="A70" s="229" t="s">
        <v>217</v>
      </c>
      <c r="B70" s="235" t="s">
        <v>218</v>
      </c>
      <c r="C70" s="145">
        <v>99537</v>
      </c>
      <c r="D70" s="145">
        <v>100709</v>
      </c>
      <c r="E70" s="231" t="s">
        <v>219</v>
      </c>
      <c r="F70" s="236" t="s">
        <v>220</v>
      </c>
      <c r="G70" s="146">
        <v>267</v>
      </c>
      <c r="H70" s="146">
        <v>267</v>
      </c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53235</v>
      </c>
      <c r="H71" s="155">
        <f>H59+H60+H61+H69+H70</f>
        <v>76081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/>
      <c r="D72" s="145"/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>
        <v>10</v>
      </c>
      <c r="D73" s="145">
        <v>9</v>
      </c>
      <c r="E73" s="157"/>
      <c r="F73" s="271"/>
      <c r="G73" s="272"/>
      <c r="H73" s="273"/>
    </row>
    <row r="74" spans="1:8" ht="15">
      <c r="A74" s="229" t="s">
        <v>228</v>
      </c>
      <c r="B74" s="235" t="s">
        <v>229</v>
      </c>
      <c r="C74" s="145">
        <v>4272</v>
      </c>
      <c r="D74" s="145">
        <v>3621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108013</v>
      </c>
      <c r="D75" s="149">
        <f>SUM(D67:D74)</f>
        <v>109295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15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1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53235</v>
      </c>
      <c r="H79" s="156">
        <f>H71+H74+H75+H76</f>
        <v>76081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1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>
        <v>167</v>
      </c>
      <c r="D87" s="145">
        <v>167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12228</v>
      </c>
      <c r="D88" s="145">
        <v>18256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/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12395</v>
      </c>
      <c r="D91" s="149">
        <f>SUM(D87:D90)</f>
        <v>18423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>
        <v>1359</v>
      </c>
      <c r="D92" s="145">
        <v>1575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121767</v>
      </c>
      <c r="D93" s="149">
        <f>D64+D75+D84+D91+D92</f>
        <v>129293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15.75" thickBot="1">
      <c r="A94" s="441" t="s">
        <v>267</v>
      </c>
      <c r="B94" s="282" t="s">
        <v>268</v>
      </c>
      <c r="C94" s="158">
        <f>C93+C55</f>
        <v>133159</v>
      </c>
      <c r="D94" s="158">
        <f>D93+D55</f>
        <v>141093</v>
      </c>
      <c r="E94" s="442" t="s">
        <v>269</v>
      </c>
      <c r="F94" s="283" t="s">
        <v>270</v>
      </c>
      <c r="G94" s="159">
        <f>G36+G39+G55+G79</f>
        <v>133159</v>
      </c>
      <c r="H94" s="159">
        <f>H36+H39+H55+H79</f>
        <v>141093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144"/>
      <c r="D96" s="144"/>
      <c r="E96" s="427"/>
      <c r="F96" s="164"/>
      <c r="G96" s="574"/>
      <c r="H96" s="166"/>
      <c r="M96" s="151"/>
    </row>
    <row r="97" spans="1:13" ht="15">
      <c r="A97" s="425"/>
      <c r="B97" s="426"/>
      <c r="C97" s="144"/>
      <c r="D97" s="144"/>
      <c r="E97" s="427"/>
      <c r="F97" s="164"/>
      <c r="G97" s="574"/>
      <c r="H97" s="166"/>
      <c r="M97" s="151"/>
    </row>
    <row r="98" spans="1:13" ht="15">
      <c r="A98" s="566">
        <v>40653</v>
      </c>
      <c r="B98" s="426"/>
      <c r="C98" s="582" t="s">
        <v>272</v>
      </c>
      <c r="D98" s="582"/>
      <c r="E98" s="582"/>
      <c r="F98" s="164"/>
      <c r="G98" s="165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6" ht="12.75">
      <c r="A100" s="167"/>
      <c r="B100" s="167"/>
      <c r="E100" s="170"/>
      <c r="F100" s="170"/>
    </row>
    <row r="101" ht="12.75">
      <c r="F101" s="163"/>
    </row>
    <row r="103" spans="3:5" ht="15">
      <c r="C103" s="582" t="s">
        <v>855</v>
      </c>
      <c r="D103" s="583"/>
      <c r="E103" s="583"/>
    </row>
    <row r="104" ht="12.75">
      <c r="M104" s="151"/>
    </row>
    <row r="105" ht="12.75">
      <c r="H105" s="577"/>
    </row>
    <row r="106" ht="12.75"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9">
      <selection activeCell="C11" sqref="C11"/>
    </sheetView>
  </sheetViews>
  <sheetFormatPr defaultColWidth="9.25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75390625" style="533" customWidth="1"/>
    <col min="5" max="5" width="37.25390625" style="556" customWidth="1"/>
    <col min="6" max="6" width="9.00390625" style="556" customWidth="1"/>
    <col min="7" max="7" width="11.75390625" style="533" customWidth="1"/>
    <col min="8" max="8" width="13.125" style="533" customWidth="1"/>
    <col min="9" max="16384" width="9.2539062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7" t="str">
        <f>'справка №1-БАЛАНС'!E3</f>
        <v>Ти Би Ай Кредит ЕАД</v>
      </c>
      <c r="C2" s="587"/>
      <c r="D2" s="587"/>
      <c r="E2" s="587"/>
      <c r="F2" s="589" t="s">
        <v>2</v>
      </c>
      <c r="G2" s="589"/>
      <c r="H2" s="514">
        <f>'справка №1-БАЛАНС'!H3</f>
        <v>121554961</v>
      </c>
    </row>
    <row r="3" spans="1:8" ht="15">
      <c r="A3" s="457" t="s">
        <v>274</v>
      </c>
      <c r="B3" s="587" t="str">
        <f>'справка №1-БАЛАНС'!E4</f>
        <v>Неконсолидиран</v>
      </c>
      <c r="C3" s="587"/>
      <c r="D3" s="587"/>
      <c r="E3" s="587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88">
        <f>'справка №1-БАЛАНС'!E5</f>
        <v>40633</v>
      </c>
      <c r="C4" s="588"/>
      <c r="D4" s="588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v>125</v>
      </c>
      <c r="D9" s="40">
        <v>133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v>1766</v>
      </c>
      <c r="D10" s="40">
        <f>1808+27+135-7</f>
        <v>1963</v>
      </c>
      <c r="E10" s="292" t="s">
        <v>288</v>
      </c>
      <c r="F10" s="537" t="s">
        <v>289</v>
      </c>
      <c r="G10" s="538"/>
      <c r="H10" s="538"/>
    </row>
    <row r="11" spans="1:8" ht="12">
      <c r="A11" s="292" t="s">
        <v>290</v>
      </c>
      <c r="B11" s="293" t="s">
        <v>291</v>
      </c>
      <c r="C11" s="40">
        <v>86</v>
      </c>
      <c r="D11" s="40">
        <v>76</v>
      </c>
      <c r="E11" s="294" t="s">
        <v>292</v>
      </c>
      <c r="F11" s="537" t="s">
        <v>293</v>
      </c>
      <c r="G11" s="538">
        <v>3503</v>
      </c>
      <c r="H11" s="538">
        <v>4660</v>
      </c>
    </row>
    <row r="12" spans="1:8" ht="12">
      <c r="A12" s="292" t="s">
        <v>294</v>
      </c>
      <c r="B12" s="293" t="s">
        <v>295</v>
      </c>
      <c r="C12" s="40">
        <v>1904</v>
      </c>
      <c r="D12" s="40">
        <v>1882</v>
      </c>
      <c r="E12" s="294" t="s">
        <v>77</v>
      </c>
      <c r="F12" s="537" t="s">
        <v>296</v>
      </c>
      <c r="G12" s="538">
        <v>252</v>
      </c>
      <c r="H12" s="538">
        <v>172</v>
      </c>
    </row>
    <row r="13" spans="1:18" ht="12">
      <c r="A13" s="292" t="s">
        <v>297</v>
      </c>
      <c r="B13" s="293" t="s">
        <v>298</v>
      </c>
      <c r="C13" s="40">
        <v>385</v>
      </c>
      <c r="D13" s="40">
        <v>337</v>
      </c>
      <c r="E13" s="295" t="s">
        <v>50</v>
      </c>
      <c r="F13" s="539" t="s">
        <v>299</v>
      </c>
      <c r="G13" s="536">
        <f>SUM(G9:G12)</f>
        <v>3755</v>
      </c>
      <c r="H13" s="536">
        <f>SUM(H9:H12)</f>
        <v>4832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12">
      <c r="A14" s="292" t="s">
        <v>300</v>
      </c>
      <c r="B14" s="293" t="s">
        <v>301</v>
      </c>
      <c r="C14" s="40"/>
      <c r="D14" s="40"/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v>918</v>
      </c>
      <c r="D16" s="41">
        <f>312+1456+3</f>
        <v>1771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>
        <v>594</v>
      </c>
      <c r="D17" s="42">
        <v>1456</v>
      </c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/>
      <c r="D18" s="42"/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5184</v>
      </c>
      <c r="D19" s="43">
        <f>SUM(D9:D15)+D16</f>
        <v>6162</v>
      </c>
      <c r="E19" s="298" t="s">
        <v>316</v>
      </c>
      <c r="F19" s="540" t="s">
        <v>317</v>
      </c>
      <c r="G19" s="538">
        <v>3146</v>
      </c>
      <c r="H19" s="538">
        <v>3814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/>
      <c r="H21" s="538"/>
    </row>
    <row r="22" spans="1:8" ht="24">
      <c r="A22" s="298" t="s">
        <v>323</v>
      </c>
      <c r="B22" s="299" t="s">
        <v>324</v>
      </c>
      <c r="C22" s="40">
        <v>1983</v>
      </c>
      <c r="D22" s="40">
        <v>2069</v>
      </c>
      <c r="E22" s="298" t="s">
        <v>325</v>
      </c>
      <c r="F22" s="540" t="s">
        <v>326</v>
      </c>
      <c r="G22" s="538"/>
      <c r="H22" s="538">
        <v>0</v>
      </c>
    </row>
    <row r="23" spans="1:8" ht="24">
      <c r="A23" s="292" t="s">
        <v>327</v>
      </c>
      <c r="B23" s="299" t="s">
        <v>328</v>
      </c>
      <c r="C23" s="40"/>
      <c r="D23" s="40"/>
      <c r="E23" s="292" t="s">
        <v>329</v>
      </c>
      <c r="F23" s="540" t="s">
        <v>330</v>
      </c>
      <c r="G23" s="538"/>
      <c r="H23" s="538"/>
    </row>
    <row r="24" spans="1:18" ht="12">
      <c r="A24" s="292" t="s">
        <v>331</v>
      </c>
      <c r="B24" s="299" t="s">
        <v>332</v>
      </c>
      <c r="C24" s="40">
        <v>4</v>
      </c>
      <c r="D24" s="40">
        <v>4</v>
      </c>
      <c r="E24" s="295" t="s">
        <v>102</v>
      </c>
      <c r="F24" s="542" t="s">
        <v>333</v>
      </c>
      <c r="G24" s="536">
        <f>SUM(G19:G23)</f>
        <v>3146</v>
      </c>
      <c r="H24" s="536">
        <f>SUM(H19:H23)</f>
        <v>3814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209</v>
      </c>
      <c r="D25" s="40">
        <v>247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2196</v>
      </c>
      <c r="D26" s="43">
        <f>SUM(D22:D25)</f>
        <v>2320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12">
      <c r="A28" s="121" t="s">
        <v>336</v>
      </c>
      <c r="B28" s="287" t="s">
        <v>337</v>
      </c>
      <c r="C28" s="44">
        <f>C26+C19</f>
        <v>7380</v>
      </c>
      <c r="D28" s="44">
        <f>D26+D19</f>
        <v>8482</v>
      </c>
      <c r="E28" s="121" t="s">
        <v>338</v>
      </c>
      <c r="F28" s="542" t="s">
        <v>339</v>
      </c>
      <c r="G28" s="536">
        <f>G13+G15+G24</f>
        <v>6901</v>
      </c>
      <c r="H28" s="536">
        <f>H13+H15+H24</f>
        <v>8646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0</v>
      </c>
      <c r="D30" s="44">
        <f>IF((H28-D28)&gt;0,H28-D28,0)</f>
        <v>164</v>
      </c>
      <c r="E30" s="121" t="s">
        <v>342</v>
      </c>
      <c r="F30" s="542" t="s">
        <v>343</v>
      </c>
      <c r="G30" s="47">
        <f>IF((C28-G28)&gt;0,C28-G28,0)</f>
        <v>479</v>
      </c>
      <c r="H30" s="47">
        <f>IF((D28-H28)&gt;0,D28-H28,0)</f>
        <v>0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7380</v>
      </c>
      <c r="D33" s="43">
        <f>D28+D31+D32</f>
        <v>8482</v>
      </c>
      <c r="E33" s="121" t="s">
        <v>352</v>
      </c>
      <c r="F33" s="542" t="s">
        <v>353</v>
      </c>
      <c r="G33" s="47">
        <f>G32+G31+G28</f>
        <v>6901</v>
      </c>
      <c r="H33" s="47">
        <f>H32+H31+H28</f>
        <v>8646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0</v>
      </c>
      <c r="D34" s="44">
        <f>IF((H33-D33)&gt;0,H33-D33,0)</f>
        <v>164</v>
      </c>
      <c r="E34" s="122" t="s">
        <v>356</v>
      </c>
      <c r="F34" s="542" t="s">
        <v>357</v>
      </c>
      <c r="G34" s="536">
        <f>IF((C33-G33)&gt;0,C33-G33,0)</f>
        <v>479</v>
      </c>
      <c r="H34" s="536">
        <f>IF((D33-H33)&gt;0,D33-H33,0)</f>
        <v>0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0</v>
      </c>
      <c r="D35" s="43">
        <f>D36+D37+D38</f>
        <v>0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12">
      <c r="A36" s="303" t="s">
        <v>360</v>
      </c>
      <c r="B36" s="299" t="s">
        <v>361</v>
      </c>
      <c r="C36" s="40"/>
      <c r="D36" s="40"/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/>
      <c r="D37" s="424"/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12">
      <c r="A39" s="306" t="s">
        <v>366</v>
      </c>
      <c r="B39" s="123" t="s">
        <v>367</v>
      </c>
      <c r="C39" s="450">
        <f>+IF((G33-C33-C35)&gt;0,G33-C33-C35,0)</f>
        <v>0</v>
      </c>
      <c r="D39" s="450">
        <f>+IF((H33-D33-D35)&gt;0,H33-D33-D35,0)</f>
        <v>164</v>
      </c>
      <c r="E39" s="307" t="s">
        <v>368</v>
      </c>
      <c r="F39" s="546" t="s">
        <v>369</v>
      </c>
      <c r="G39" s="547">
        <f>IF(G34&gt;0,IF(C35+G34&lt;0,0,C35+G34),IF(C34-C35&lt;0,C35-C34,0))</f>
        <v>479</v>
      </c>
      <c r="H39" s="547">
        <f>IF(H34&gt;0,IF(D35+H34&lt;0,0,D35+H34),IF(D34-D35&lt;0,D35-D34,0))</f>
        <v>0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0</v>
      </c>
      <c r="D41" s="46">
        <f>IF(H39=0,IF(D39-D40&gt;0,D39-D40+H40,0),IF(H39-H40&lt;0,H40-H39+D39,0))</f>
        <v>164</v>
      </c>
      <c r="E41" s="121" t="s">
        <v>375</v>
      </c>
      <c r="F41" s="559" t="s">
        <v>376</v>
      </c>
      <c r="G41" s="46">
        <f>IF(C39=0,IF(G39-G40&gt;0,G39-G40+C40,0),IF(C39-C40&lt;0,C40-C39+G40,0))</f>
        <v>479</v>
      </c>
      <c r="H41" s="46">
        <f>IF(D39=0,IF(H39-H40&gt;0,H39-H40+D40,0),IF(D39-D40&lt;0,D40-D39+H40,0))</f>
        <v>0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7380</v>
      </c>
      <c r="D42" s="47">
        <f>D33+D35+D39</f>
        <v>8646</v>
      </c>
      <c r="E42" s="122" t="s">
        <v>379</v>
      </c>
      <c r="F42" s="123" t="s">
        <v>380</v>
      </c>
      <c r="G42" s="47">
        <f>G39+G33</f>
        <v>7380</v>
      </c>
      <c r="H42" s="47">
        <f>H39+H33</f>
        <v>8646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90" t="s">
        <v>861</v>
      </c>
      <c r="B45" s="590"/>
      <c r="C45" s="590"/>
      <c r="D45" s="590"/>
      <c r="E45" s="590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>
        <f>+'справка №1-БАЛАНС'!A98</f>
        <v>40653</v>
      </c>
      <c r="C48" s="421" t="s">
        <v>381</v>
      </c>
      <c r="D48" s="585"/>
      <c r="E48" s="585"/>
      <c r="F48" s="585"/>
      <c r="G48" s="585"/>
      <c r="H48" s="585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6"/>
      <c r="E50" s="586"/>
      <c r="F50" s="586"/>
      <c r="G50" s="586"/>
      <c r="H50" s="586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12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6">
      <selection activeCell="C47" sqref="C47"/>
    </sheetView>
  </sheetViews>
  <sheetFormatPr defaultColWidth="9.25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25390625" style="531" customWidth="1"/>
    <col min="5" max="5" width="10.125" style="125" customWidth="1"/>
    <col min="6" max="6" width="12.00390625" style="125" customWidth="1"/>
    <col min="7" max="16384" width="9.2539062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Неконсолидиран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>
        <f>'справка №1-БАЛАНС'!E5</f>
        <v>40633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359</v>
      </c>
      <c r="D10" s="48">
        <v>273</v>
      </c>
      <c r="E10" s="124"/>
      <c r="F10" s="124"/>
    </row>
    <row r="11" spans="1:13" ht="12">
      <c r="A11" s="326" t="s">
        <v>388</v>
      </c>
      <c r="B11" s="327" t="s">
        <v>389</v>
      </c>
      <c r="C11" s="48">
        <v>-367</v>
      </c>
      <c r="D11" s="48">
        <v>-870</v>
      </c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12">
      <c r="A12" s="326" t="s">
        <v>390</v>
      </c>
      <c r="B12" s="327" t="s">
        <v>391</v>
      </c>
      <c r="C12" s="48">
        <v>1619</v>
      </c>
      <c r="D12" s="48">
        <v>3185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-2224</v>
      </c>
      <c r="D13" s="48">
        <v>-2172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-49</v>
      </c>
      <c r="D14" s="48">
        <v>-34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/>
      <c r="D15" s="48"/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5232</v>
      </c>
      <c r="D16" s="48">
        <v>5176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12">
      <c r="A17" s="326" t="s">
        <v>400</v>
      </c>
      <c r="B17" s="327" t="s">
        <v>401</v>
      </c>
      <c r="C17" s="48">
        <v>-98</v>
      </c>
      <c r="D17" s="48">
        <v>-187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-4</v>
      </c>
      <c r="D18" s="48">
        <v>-4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-1334</v>
      </c>
      <c r="D19" s="48">
        <v>-1569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3134</v>
      </c>
      <c r="D20" s="49">
        <f>SUM(D10:D19)</f>
        <v>3798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-172</v>
      </c>
      <c r="D22" s="48">
        <v>-71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/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/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/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/>
      <c r="D31" s="48"/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-172</v>
      </c>
      <c r="D32" s="49">
        <f>SUM(D22:D31)</f>
        <v>-71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/>
      <c r="D34" s="48"/>
      <c r="E34" s="124"/>
      <c r="F34" s="124"/>
    </row>
    <row r="35" spans="1:6" ht="12">
      <c r="A35" s="328" t="s">
        <v>433</v>
      </c>
      <c r="B35" s="327" t="s">
        <v>434</v>
      </c>
      <c r="C35" s="48"/>
      <c r="D35" s="48"/>
      <c r="E35" s="124"/>
      <c r="F35" s="124"/>
    </row>
    <row r="36" spans="1:6" ht="12">
      <c r="A36" s="326" t="s">
        <v>435</v>
      </c>
      <c r="B36" s="327" t="s">
        <v>436</v>
      </c>
      <c r="C36" s="48">
        <v>4376</v>
      </c>
      <c r="D36" s="48">
        <v>4265</v>
      </c>
      <c r="E36" s="124"/>
      <c r="F36" s="124"/>
    </row>
    <row r="37" spans="1:6" ht="12">
      <c r="A37" s="326" t="s">
        <v>437</v>
      </c>
      <c r="B37" s="327" t="s">
        <v>438</v>
      </c>
      <c r="C37" s="48">
        <v>-12295</v>
      </c>
      <c r="D37" s="48">
        <v>-14186</v>
      </c>
      <c r="E37" s="124"/>
      <c r="F37" s="124"/>
    </row>
    <row r="38" spans="1:6" ht="12">
      <c r="A38" s="326" t="s">
        <v>439</v>
      </c>
      <c r="B38" s="327" t="s">
        <v>440</v>
      </c>
      <c r="C38" s="48"/>
      <c r="D38" s="48"/>
      <c r="E38" s="124"/>
      <c r="F38" s="124"/>
    </row>
    <row r="39" spans="1:6" ht="12">
      <c r="A39" s="326" t="s">
        <v>441</v>
      </c>
      <c r="B39" s="327" t="s">
        <v>442</v>
      </c>
      <c r="C39" s="48">
        <v>-1071</v>
      </c>
      <c r="D39" s="48">
        <v>-1746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/>
      <c r="D41" s="48"/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-8990</v>
      </c>
      <c r="D42" s="49">
        <f>SUM(D34:D41)</f>
        <v>-11667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-6028</v>
      </c>
      <c r="D43" s="49">
        <f>D42+D32+D20</f>
        <v>-7940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f>+'справка №1-БАЛАНС'!D91</f>
        <v>18423</v>
      </c>
      <c r="D44" s="126">
        <v>20270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12395</v>
      </c>
      <c r="D45" s="49">
        <f>D44+D43</f>
        <v>12330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f>+'справка №1-БАЛАНС'!C91</f>
        <v>12395</v>
      </c>
      <c r="D46" s="50">
        <v>12330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/>
      <c r="D47" s="50"/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>
        <f>+'справка №1-БАЛАНС'!A98</f>
        <v>40653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91"/>
      <c r="D50" s="592"/>
      <c r="G50" s="127"/>
      <c r="H50" s="127"/>
    </row>
    <row r="51" spans="1:8" ht="12">
      <c r="A51" s="312"/>
      <c r="B51" s="312"/>
      <c r="C51" s="575"/>
      <c r="D51" s="313"/>
      <c r="G51" s="127"/>
      <c r="H51" s="127"/>
    </row>
    <row r="52" spans="1:8" ht="12">
      <c r="A52" s="312"/>
      <c r="B52" s="429" t="s">
        <v>781</v>
      </c>
      <c r="C52" s="592"/>
      <c r="D52" s="592"/>
      <c r="G52" s="127"/>
      <c r="H52" s="127"/>
    </row>
    <row r="53" spans="1:8" ht="12">
      <c r="A53" s="312"/>
      <c r="B53" s="312"/>
      <c r="C53" s="313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C32" sqref="C32:K32"/>
    </sheetView>
  </sheetViews>
  <sheetFormatPr defaultColWidth="9.25390625" defaultRowHeight="12.75"/>
  <cols>
    <col min="1" max="1" width="48.375" style="527" customWidth="1"/>
    <col min="2" max="2" width="8.25390625" style="52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0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5" t="str">
        <f>'справка №1-БАЛАНС'!E3</f>
        <v>Ти Би Ай Кредит ЕАД</v>
      </c>
      <c r="C3" s="595"/>
      <c r="D3" s="595"/>
      <c r="E3" s="595"/>
      <c r="F3" s="595"/>
      <c r="G3" s="595"/>
      <c r="H3" s="595"/>
      <c r="I3" s="595"/>
      <c r="J3" s="466"/>
      <c r="K3" s="597" t="s">
        <v>2</v>
      </c>
      <c r="L3" s="597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0"/>
      <c r="K4" s="598" t="s">
        <v>3</v>
      </c>
      <c r="L4" s="598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599">
        <f>'справка №1-БАЛАНС'!E5</f>
        <v>40633</v>
      </c>
      <c r="C5" s="599"/>
      <c r="D5" s="599"/>
      <c r="E5" s="599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25800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741</v>
      </c>
      <c r="G11" s="52">
        <f>'справка №1-БАЛАНС'!H23</f>
        <v>0</v>
      </c>
      <c r="H11" s="54"/>
      <c r="I11" s="52">
        <f>'справка №1-БАЛАНС'!H28+'справка №1-БАЛАНС'!H31</f>
        <v>283</v>
      </c>
      <c r="J11" s="52">
        <f>'справка №1-БАЛАНС'!H29+'справка №1-БАЛАНС'!H32</f>
        <v>-2474</v>
      </c>
      <c r="K11" s="54"/>
      <c r="L11" s="338">
        <f>SUM(C11:K11)</f>
        <v>24350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25800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741</v>
      </c>
      <c r="G15" s="55">
        <f t="shared" si="2"/>
        <v>0</v>
      </c>
      <c r="H15" s="55">
        <f t="shared" si="2"/>
        <v>0</v>
      </c>
      <c r="I15" s="55">
        <f t="shared" si="2"/>
        <v>283</v>
      </c>
      <c r="J15" s="55">
        <f t="shared" si="2"/>
        <v>-2474</v>
      </c>
      <c r="K15" s="55">
        <f t="shared" si="2"/>
        <v>0</v>
      </c>
      <c r="L15" s="338">
        <f t="shared" si="1"/>
        <v>24350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f>+'справка №1-БАЛАНС'!G31</f>
        <v>0</v>
      </c>
      <c r="J16" s="339">
        <f>+'справка №1-БАЛАНС'!G32</f>
        <v>-479</v>
      </c>
      <c r="K16" s="54"/>
      <c r="L16" s="338">
        <f t="shared" si="1"/>
        <v>-479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/>
      <c r="D19" s="54"/>
      <c r="E19" s="54"/>
      <c r="F19" s="54"/>
      <c r="G19" s="54"/>
      <c r="H19" s="54"/>
      <c r="I19" s="54"/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/>
      <c r="D20" s="54"/>
      <c r="E20" s="54"/>
      <c r="F20" s="54"/>
      <c r="G20" s="54"/>
      <c r="H20" s="54"/>
      <c r="I20" s="54"/>
      <c r="J20" s="54"/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/>
      <c r="D28" s="54"/>
      <c r="E28" s="54"/>
      <c r="F28" s="54"/>
      <c r="G28" s="54"/>
      <c r="H28" s="54"/>
      <c r="I28" s="54"/>
      <c r="J28" s="54"/>
      <c r="K28" s="54"/>
      <c r="L28" s="338">
        <f t="shared" si="1"/>
        <v>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25800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741</v>
      </c>
      <c r="G29" s="53">
        <f t="shared" si="6"/>
        <v>0</v>
      </c>
      <c r="H29" s="53">
        <f t="shared" si="6"/>
        <v>0</v>
      </c>
      <c r="I29" s="53">
        <f t="shared" si="6"/>
        <v>283</v>
      </c>
      <c r="J29" s="53">
        <f t="shared" si="6"/>
        <v>-2953</v>
      </c>
      <c r="K29" s="53">
        <f t="shared" si="6"/>
        <v>0</v>
      </c>
      <c r="L29" s="338">
        <f t="shared" si="1"/>
        <v>23871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25800</v>
      </c>
      <c r="D32" s="53">
        <f t="shared" si="7"/>
        <v>0</v>
      </c>
      <c r="E32" s="53">
        <f t="shared" si="7"/>
        <v>0</v>
      </c>
      <c r="F32" s="53">
        <f t="shared" si="7"/>
        <v>741</v>
      </c>
      <c r="G32" s="53">
        <f t="shared" si="7"/>
        <v>0</v>
      </c>
      <c r="H32" s="53">
        <f t="shared" si="7"/>
        <v>0</v>
      </c>
      <c r="I32" s="53">
        <f t="shared" si="7"/>
        <v>283</v>
      </c>
      <c r="J32" s="53">
        <f t="shared" si="7"/>
        <v>-2953</v>
      </c>
      <c r="K32" s="53">
        <f t="shared" si="7"/>
        <v>0</v>
      </c>
      <c r="L32" s="338">
        <f t="shared" si="1"/>
        <v>23871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>
        <f>+'справка №2-ОТЧЕТ ЗА ДОХОДИТЕ'!B48</f>
        <v>40653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3">
      <selection activeCell="R23" sqref="R2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11" t="s">
        <v>383</v>
      </c>
      <c r="B2" s="612"/>
      <c r="C2" s="613" t="str">
        <f>'справка №1-БАЛАНС'!E3</f>
        <v>Ти Би Ай Кредит ЕАД</v>
      </c>
      <c r="D2" s="613"/>
      <c r="E2" s="613"/>
      <c r="F2" s="613"/>
      <c r="G2" s="613"/>
      <c r="H2" s="613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611" t="s">
        <v>4</v>
      </c>
      <c r="B3" s="612"/>
      <c r="C3" s="614">
        <f>'справка №1-БАЛАНС'!E5</f>
        <v>40633</v>
      </c>
      <c r="D3" s="614"/>
      <c r="E3" s="614"/>
      <c r="F3" s="475"/>
      <c r="G3" s="475"/>
      <c r="H3" s="475"/>
      <c r="I3" s="475"/>
      <c r="J3" s="475"/>
      <c r="K3" s="475"/>
      <c r="L3" s="475"/>
      <c r="M3" s="615" t="s">
        <v>3</v>
      </c>
      <c r="N3" s="615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600" t="s">
        <v>463</v>
      </c>
      <c r="B5" s="601"/>
      <c r="C5" s="604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609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609" t="s">
        <v>529</v>
      </c>
      <c r="R5" s="609" t="s">
        <v>530</v>
      </c>
    </row>
    <row r="6" spans="1:18" s="94" customFormat="1" ht="48">
      <c r="A6" s="602"/>
      <c r="B6" s="603"/>
      <c r="C6" s="605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10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10"/>
      <c r="R6" s="610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/>
      <c r="E9" s="183"/>
      <c r="F9" s="183"/>
      <c r="G9" s="68">
        <f>D9+E9-F9</f>
        <v>0</v>
      </c>
      <c r="H9" s="59"/>
      <c r="I9" s="59"/>
      <c r="J9" s="68">
        <f>G9+H9-I9</f>
        <v>0</v>
      </c>
      <c r="K9" s="59"/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/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/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520</v>
      </c>
      <c r="E11" s="183"/>
      <c r="F11" s="183"/>
      <c r="G11" s="68">
        <f t="shared" si="2"/>
        <v>520</v>
      </c>
      <c r="H11" s="59"/>
      <c r="I11" s="59"/>
      <c r="J11" s="68">
        <f t="shared" si="3"/>
        <v>520</v>
      </c>
      <c r="K11" s="59">
        <v>501</v>
      </c>
      <c r="L11" s="59">
        <v>3</v>
      </c>
      <c r="M11" s="59"/>
      <c r="N11" s="68">
        <f t="shared" si="4"/>
        <v>504</v>
      </c>
      <c r="O11" s="59"/>
      <c r="P11" s="59"/>
      <c r="Q11" s="68">
        <f t="shared" si="0"/>
        <v>504</v>
      </c>
      <c r="R11" s="68">
        <f t="shared" si="1"/>
        <v>16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/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/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174</v>
      </c>
      <c r="E13" s="183"/>
      <c r="F13" s="183"/>
      <c r="G13" s="68">
        <f t="shared" si="2"/>
        <v>174</v>
      </c>
      <c r="H13" s="59"/>
      <c r="I13" s="59"/>
      <c r="J13" s="68">
        <f t="shared" si="3"/>
        <v>174</v>
      </c>
      <c r="K13" s="59">
        <v>174</v>
      </c>
      <c r="L13" s="59"/>
      <c r="M13" s="59"/>
      <c r="N13" s="68">
        <f t="shared" si="4"/>
        <v>174</v>
      </c>
      <c r="O13" s="59"/>
      <c r="P13" s="59"/>
      <c r="Q13" s="68">
        <f t="shared" si="0"/>
        <v>174</v>
      </c>
      <c r="R13" s="68">
        <f t="shared" si="1"/>
        <v>0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387</v>
      </c>
      <c r="E14" s="183"/>
      <c r="F14" s="183"/>
      <c r="G14" s="68">
        <f t="shared" si="2"/>
        <v>387</v>
      </c>
      <c r="H14" s="59"/>
      <c r="I14" s="59"/>
      <c r="J14" s="68">
        <f t="shared" si="3"/>
        <v>387</v>
      </c>
      <c r="K14" s="59">
        <v>219</v>
      </c>
      <c r="L14" s="59">
        <v>9</v>
      </c>
      <c r="M14" s="59"/>
      <c r="N14" s="68">
        <f t="shared" si="4"/>
        <v>228</v>
      </c>
      <c r="O14" s="59"/>
      <c r="P14" s="59"/>
      <c r="Q14" s="68">
        <f t="shared" si="0"/>
        <v>228</v>
      </c>
      <c r="R14" s="68">
        <f t="shared" si="1"/>
        <v>159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24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1081</v>
      </c>
      <c r="E17" s="188">
        <f>SUM(E9:E16)</f>
        <v>0</v>
      </c>
      <c r="F17" s="188">
        <f>SUM(F9:F16)</f>
        <v>0</v>
      </c>
      <c r="G17" s="68">
        <f t="shared" si="2"/>
        <v>1081</v>
      </c>
      <c r="H17" s="69">
        <f>SUM(H9:H16)</f>
        <v>0</v>
      </c>
      <c r="I17" s="69">
        <f>SUM(I9:I16)</f>
        <v>0</v>
      </c>
      <c r="J17" s="68">
        <f t="shared" si="3"/>
        <v>1081</v>
      </c>
      <c r="K17" s="69">
        <f>SUM(K9:K16)</f>
        <v>894</v>
      </c>
      <c r="L17" s="69">
        <f>SUM(L9:L16)</f>
        <v>12</v>
      </c>
      <c r="M17" s="69">
        <f>SUM(M9:M16)</f>
        <v>0</v>
      </c>
      <c r="N17" s="68">
        <f t="shared" si="4"/>
        <v>906</v>
      </c>
      <c r="O17" s="69">
        <f>SUM(O9:O16)</f>
        <v>0</v>
      </c>
      <c r="P17" s="69">
        <f>SUM(P9:P16)</f>
        <v>0</v>
      </c>
      <c r="Q17" s="68">
        <f t="shared" si="5"/>
        <v>906</v>
      </c>
      <c r="R17" s="68">
        <f t="shared" si="6"/>
        <v>175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v>325</v>
      </c>
      <c r="E21" s="183">
        <v>78</v>
      </c>
      <c r="F21" s="183"/>
      <c r="G21" s="68">
        <f t="shared" si="2"/>
        <v>403</v>
      </c>
      <c r="H21" s="59"/>
      <c r="I21" s="59"/>
      <c r="J21" s="68">
        <f t="shared" si="3"/>
        <v>403</v>
      </c>
      <c r="K21" s="59">
        <v>73</v>
      </c>
      <c r="L21" s="59">
        <v>11</v>
      </c>
      <c r="M21" s="59"/>
      <c r="N21" s="68">
        <f t="shared" si="4"/>
        <v>84</v>
      </c>
      <c r="O21" s="59"/>
      <c r="P21" s="59"/>
      <c r="Q21" s="68">
        <f t="shared" si="5"/>
        <v>84</v>
      </c>
      <c r="R21" s="68">
        <f t="shared" si="6"/>
        <v>319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1174</v>
      </c>
      <c r="E22" s="183">
        <v>94</v>
      </c>
      <c r="F22" s="183"/>
      <c r="G22" s="68">
        <f t="shared" si="2"/>
        <v>1268</v>
      </c>
      <c r="H22" s="59"/>
      <c r="I22" s="59"/>
      <c r="J22" s="68">
        <f t="shared" si="3"/>
        <v>1268</v>
      </c>
      <c r="K22" s="59">
        <v>898</v>
      </c>
      <c r="L22" s="59">
        <v>56</v>
      </c>
      <c r="M22" s="59"/>
      <c r="N22" s="68">
        <f t="shared" si="4"/>
        <v>954</v>
      </c>
      <c r="O22" s="59"/>
      <c r="P22" s="59"/>
      <c r="Q22" s="68">
        <f t="shared" si="5"/>
        <v>954</v>
      </c>
      <c r="R22" s="68">
        <f t="shared" si="6"/>
        <v>314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/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/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v>208</v>
      </c>
      <c r="E24" s="183"/>
      <c r="F24" s="183"/>
      <c r="G24" s="68">
        <f t="shared" si="2"/>
        <v>208</v>
      </c>
      <c r="H24" s="59"/>
      <c r="I24" s="59"/>
      <c r="J24" s="68">
        <f t="shared" si="3"/>
        <v>208</v>
      </c>
      <c r="K24" s="59">
        <v>166</v>
      </c>
      <c r="L24" s="59">
        <v>7</v>
      </c>
      <c r="M24" s="59"/>
      <c r="N24" s="68">
        <f t="shared" si="4"/>
        <v>173</v>
      </c>
      <c r="O24" s="59"/>
      <c r="P24" s="59"/>
      <c r="Q24" s="68">
        <f t="shared" si="5"/>
        <v>173</v>
      </c>
      <c r="R24" s="68">
        <f t="shared" si="6"/>
        <v>35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1707</v>
      </c>
      <c r="E25" s="184">
        <f aca="true" t="shared" si="7" ref="E25:P25">SUM(E21:E24)</f>
        <v>172</v>
      </c>
      <c r="F25" s="184">
        <f t="shared" si="7"/>
        <v>0</v>
      </c>
      <c r="G25" s="61">
        <f t="shared" si="2"/>
        <v>1879</v>
      </c>
      <c r="H25" s="60">
        <f t="shared" si="7"/>
        <v>0</v>
      </c>
      <c r="I25" s="60">
        <f t="shared" si="7"/>
        <v>0</v>
      </c>
      <c r="J25" s="61">
        <f t="shared" si="3"/>
        <v>1879</v>
      </c>
      <c r="K25" s="60">
        <f t="shared" si="7"/>
        <v>1137</v>
      </c>
      <c r="L25" s="60">
        <f t="shared" si="7"/>
        <v>74</v>
      </c>
      <c r="M25" s="60">
        <f t="shared" si="7"/>
        <v>0</v>
      </c>
      <c r="N25" s="61">
        <f t="shared" si="4"/>
        <v>1211</v>
      </c>
      <c r="O25" s="60">
        <f t="shared" si="7"/>
        <v>0</v>
      </c>
      <c r="P25" s="60">
        <f t="shared" si="7"/>
        <v>0</v>
      </c>
      <c r="Q25" s="61">
        <f t="shared" si="5"/>
        <v>1211</v>
      </c>
      <c r="R25" s="61">
        <f t="shared" si="6"/>
        <v>668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2788</v>
      </c>
      <c r="E40" s="431">
        <f>E17+E18+E19+E25+E38+E39</f>
        <v>172</v>
      </c>
      <c r="F40" s="431">
        <f aca="true" t="shared" si="13" ref="F40:R40">F17+F18+F19+F25+F38+F39</f>
        <v>0</v>
      </c>
      <c r="G40" s="431">
        <f t="shared" si="13"/>
        <v>2960</v>
      </c>
      <c r="H40" s="431">
        <f t="shared" si="13"/>
        <v>0</v>
      </c>
      <c r="I40" s="431">
        <f t="shared" si="13"/>
        <v>0</v>
      </c>
      <c r="J40" s="431">
        <f t="shared" si="13"/>
        <v>2960</v>
      </c>
      <c r="K40" s="431">
        <f t="shared" si="13"/>
        <v>2031</v>
      </c>
      <c r="L40" s="431">
        <f t="shared" si="13"/>
        <v>86</v>
      </c>
      <c r="M40" s="431">
        <f t="shared" si="13"/>
        <v>0</v>
      </c>
      <c r="N40" s="431">
        <f t="shared" si="13"/>
        <v>2117</v>
      </c>
      <c r="O40" s="431">
        <f t="shared" si="13"/>
        <v>0</v>
      </c>
      <c r="P40" s="431">
        <f t="shared" si="13"/>
        <v>0</v>
      </c>
      <c r="Q40" s="431">
        <f t="shared" si="13"/>
        <v>2117</v>
      </c>
      <c r="R40" s="431">
        <f t="shared" si="13"/>
        <v>843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>
        <f>+'справка №4-ОСК'!A38</f>
        <v>40653</v>
      </c>
      <c r="C44" s="348"/>
      <c r="D44" s="349"/>
      <c r="E44" s="349"/>
      <c r="F44" s="576"/>
      <c r="G44" s="345"/>
      <c r="H44" s="350" t="s">
        <v>608</v>
      </c>
      <c r="I44" s="350"/>
      <c r="J44" s="350"/>
      <c r="K44" s="606"/>
      <c r="L44" s="606"/>
      <c r="M44" s="606"/>
      <c r="N44" s="606"/>
      <c r="O44" s="607" t="s">
        <v>781</v>
      </c>
      <c r="P44" s="608"/>
      <c r="Q44" s="608"/>
      <c r="R44" s="608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0">
      <selection activeCell="C95" sqref="C95"/>
    </sheetView>
  </sheetViews>
  <sheetFormatPr defaultColWidth="10.75390625" defaultRowHeight="12.75"/>
  <cols>
    <col min="1" max="1" width="39.125" style="22" customWidth="1"/>
    <col min="2" max="2" width="10.375" style="9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23" t="str">
        <f>'справка №1-БАЛАНС'!E3</f>
        <v>Ти Би Ай Кредит ЕАД</v>
      </c>
      <c r="C3" s="624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20">
        <f>'справка №1-БАЛАНС'!E5</f>
        <v>40633</v>
      </c>
      <c r="C4" s="621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12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12">
      <c r="A10" s="387" t="s">
        <v>618</v>
      </c>
      <c r="B10" s="389"/>
      <c r="C10" s="98"/>
      <c r="D10" s="98"/>
      <c r="E10" s="114"/>
      <c r="F10" s="100"/>
    </row>
    <row r="11" spans="1:15" ht="12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12">
      <c r="A15" s="390" t="s">
        <v>627</v>
      </c>
      <c r="B15" s="391" t="s">
        <v>628</v>
      </c>
      <c r="C15" s="102">
        <f>+'справка №1-БАЛАНС'!C48</f>
        <v>10020</v>
      </c>
      <c r="D15" s="102"/>
      <c r="E15" s="114">
        <f t="shared" si="0"/>
        <v>10020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10020</v>
      </c>
      <c r="D19" s="98">
        <f>D11+D15+D16</f>
        <v>0</v>
      </c>
      <c r="E19" s="112">
        <f>E11+E15+E16</f>
        <v>10020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>
        <f>+'справка №1-БАЛАНС'!C54</f>
        <v>306</v>
      </c>
      <c r="D21" s="102"/>
      <c r="E21" s="114">
        <f t="shared" si="0"/>
        <v>306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12">
      <c r="A23" s="387" t="s">
        <v>639</v>
      </c>
      <c r="B23" s="393"/>
      <c r="C23" s="113"/>
      <c r="D23" s="98"/>
      <c r="E23" s="114"/>
      <c r="F23" s="100"/>
    </row>
    <row r="24" spans="1:15" ht="12">
      <c r="A24" s="390" t="s">
        <v>640</v>
      </c>
      <c r="B24" s="391" t="s">
        <v>641</v>
      </c>
      <c r="C24" s="113">
        <f>SUM(C25:C27)</f>
        <v>1898</v>
      </c>
      <c r="D24" s="113">
        <f>SUM(D25:D27)</f>
        <v>1898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>
        <v>1767</v>
      </c>
      <c r="D25" s="102">
        <f aca="true" t="shared" si="1" ref="D25:D30">C25</f>
        <v>1767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>
        <v>131</v>
      </c>
      <c r="D26" s="102">
        <f t="shared" si="1"/>
        <v>131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/>
      <c r="D27" s="102">
        <f t="shared" si="1"/>
        <v>0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196</v>
      </c>
      <c r="D28" s="102">
        <f t="shared" si="1"/>
        <v>196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2100</v>
      </c>
      <c r="D29" s="102">
        <f t="shared" si="1"/>
        <v>2100</v>
      </c>
      <c r="E29" s="114">
        <f t="shared" si="0"/>
        <v>0</v>
      </c>
      <c r="F29" s="100"/>
    </row>
    <row r="30" spans="1:6" ht="12">
      <c r="A30" s="390" t="s">
        <v>652</v>
      </c>
      <c r="B30" s="391" t="s">
        <v>653</v>
      </c>
      <c r="C30" s="102">
        <f>+'справка №1-БАЛАНС'!C70</f>
        <v>99537</v>
      </c>
      <c r="D30" s="102">
        <f t="shared" si="1"/>
        <v>99537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0</v>
      </c>
      <c r="D33" s="99">
        <f>SUM(D34:D37)</f>
        <v>0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/>
      <c r="D34" s="102">
        <f>C34</f>
        <v>0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/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4282</v>
      </c>
      <c r="D38" s="99">
        <f>SUM(D39:D42)</f>
        <v>4282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/>
      <c r="D40" s="102">
        <f>C40</f>
        <v>0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f>+'справка №1-БАЛАНС'!C74-'справка №6'!C40+'справка №1-БАЛАНС'!C73</f>
        <v>4282</v>
      </c>
      <c r="D42" s="102">
        <f>C42</f>
        <v>4282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108013</v>
      </c>
      <c r="D43" s="98">
        <f>D24+D28+D29+D31+D30+D32+D33+D38</f>
        <v>108013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118339</v>
      </c>
      <c r="D44" s="97">
        <f>D43+D21+D19+D9</f>
        <v>108013</v>
      </c>
      <c r="E44" s="112">
        <f>E43+E21+E19+E9</f>
        <v>10326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12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5293</v>
      </c>
      <c r="D52" s="97">
        <f>SUM(D53:D55)</f>
        <v>0</v>
      </c>
      <c r="E52" s="113">
        <f>C52-D52</f>
        <v>5293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5293</v>
      </c>
      <c r="D53" s="102">
        <v>0</v>
      </c>
      <c r="E53" s="113">
        <f>C53-D53</f>
        <v>5293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24">
      <c r="A56" s="390" t="s">
        <v>694</v>
      </c>
      <c r="B56" s="391" t="s">
        <v>695</v>
      </c>
      <c r="C56" s="97">
        <f>C57+C59</f>
        <v>17850</v>
      </c>
      <c r="D56" s="97">
        <f>D57+D59</f>
        <v>0</v>
      </c>
      <c r="E56" s="113">
        <f t="shared" si="2"/>
        <v>17850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17850</v>
      </c>
      <c r="D57" s="102">
        <v>0</v>
      </c>
      <c r="E57" s="113">
        <f t="shared" si="2"/>
        <v>17850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12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12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32910</v>
      </c>
      <c r="D63" s="102"/>
      <c r="E63" s="113">
        <f t="shared" si="2"/>
        <v>32910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56053</v>
      </c>
      <c r="D66" s="97">
        <f>D52+D56+D61+D62+D63+D64</f>
        <v>0</v>
      </c>
      <c r="E66" s="113">
        <f t="shared" si="2"/>
        <v>56053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12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3876</v>
      </c>
      <c r="D71" s="99">
        <f>SUM(D72:D74)</f>
        <v>3876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>
        <v>308</v>
      </c>
      <c r="D72" s="102">
        <f>C72</f>
        <v>308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>
        <v>3568</v>
      </c>
      <c r="D74" s="102">
        <f>C74</f>
        <v>3568</v>
      </c>
      <c r="E74" s="113">
        <f t="shared" si="2"/>
        <v>0</v>
      </c>
      <c r="F74" s="104"/>
    </row>
    <row r="75" spans="1:16" ht="24">
      <c r="A75" s="390" t="s">
        <v>694</v>
      </c>
      <c r="B75" s="391" t="s">
        <v>724</v>
      </c>
      <c r="C75" s="97">
        <f>C76+C78</f>
        <v>39693</v>
      </c>
      <c r="D75" s="97">
        <f>D76+D78</f>
        <v>39693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39693</v>
      </c>
      <c r="D76" s="102">
        <f>C76</f>
        <v>39693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6590</v>
      </c>
      <c r="D80" s="97">
        <f>SUM(D81:D84)</f>
        <v>6590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6590</v>
      </c>
      <c r="D82" s="102">
        <f>C82</f>
        <v>6590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1326</v>
      </c>
      <c r="D85" s="98">
        <f>SUM(D86:D90)+D94</f>
        <v>1326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300</v>
      </c>
      <c r="D87" s="102">
        <f>C87</f>
        <v>300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>
        <f>+'справка №1-БАЛАНС'!G65</f>
        <v>214</v>
      </c>
      <c r="D88" s="102">
        <f>C88</f>
        <v>214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519</v>
      </c>
      <c r="D89" s="102">
        <f>C89</f>
        <v>519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82</v>
      </c>
      <c r="D90" s="97">
        <f>SUM(D91:D93)</f>
        <v>82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/>
      <c r="D91" s="102">
        <f>+C91</f>
        <v>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>
        <v>10</v>
      </c>
      <c r="D92" s="102">
        <f>C92</f>
        <v>10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v>72</v>
      </c>
      <c r="D93" s="102">
        <f>C93</f>
        <v>72</v>
      </c>
      <c r="E93" s="113">
        <f t="shared" si="2"/>
        <v>0</v>
      </c>
      <c r="F93" s="102"/>
    </row>
    <row r="94" spans="1:6" ht="12">
      <c r="A94" s="390" t="s">
        <v>758</v>
      </c>
      <c r="B94" s="391" t="s">
        <v>759</v>
      </c>
      <c r="C94" s="102">
        <f>+'справка №1-БАЛАНС'!G67</f>
        <v>211</v>
      </c>
      <c r="D94" s="102">
        <f>C94</f>
        <v>211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1483</v>
      </c>
      <c r="D95" s="102">
        <f>C95</f>
        <v>1483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52968</v>
      </c>
      <c r="D96" s="98">
        <f>D85+D80+D75+D71+D95</f>
        <v>52968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109021</v>
      </c>
      <c r="D97" s="98">
        <f>D96+D68+D66</f>
        <v>52968</v>
      </c>
      <c r="E97" s="98">
        <f>E96+E68+E66</f>
        <v>56053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>
        <v>267</v>
      </c>
      <c r="D104" s="102"/>
      <c r="E104" s="102"/>
      <c r="F104" s="119">
        <f>C104+D104-E104</f>
        <v>267</v>
      </c>
    </row>
    <row r="105" spans="1:16" ht="12">
      <c r="A105" s="406" t="s">
        <v>777</v>
      </c>
      <c r="B105" s="389" t="s">
        <v>778</v>
      </c>
      <c r="C105" s="97">
        <f>SUM(C102:C104)</f>
        <v>267</v>
      </c>
      <c r="D105" s="97">
        <f>SUM(D102:D104)</f>
        <v>0</v>
      </c>
      <c r="E105" s="97">
        <f>SUM(E102:E104)</f>
        <v>0</v>
      </c>
      <c r="F105" s="97">
        <f>SUM(F102:F104)</f>
        <v>267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22">
        <f>+'справка №5'!B44</f>
        <v>40653</v>
      </c>
      <c r="B109" s="617"/>
      <c r="C109" s="617" t="s">
        <v>381</v>
      </c>
      <c r="D109" s="617"/>
      <c r="E109" s="617"/>
      <c r="F109" s="617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6" t="s">
        <v>781</v>
      </c>
      <c r="D111" s="616"/>
      <c r="E111" s="616"/>
      <c r="F111" s="616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41" sqref="C41"/>
    </sheetView>
  </sheetViews>
  <sheetFormatPr defaultColWidth="10.75390625" defaultRowHeight="12.75"/>
  <cols>
    <col min="1" max="1" width="52.75390625" style="101" customWidth="1"/>
    <col min="2" max="2" width="9.125" style="512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5" t="str">
        <f>'справка №1-БАЛАНС'!E3</f>
        <v>Ти Би Ай Кредит ЕАД</v>
      </c>
      <c r="C4" s="625"/>
      <c r="D4" s="625"/>
      <c r="E4" s="625"/>
      <c r="F4" s="625"/>
      <c r="G4" s="631" t="s">
        <v>2</v>
      </c>
      <c r="H4" s="631"/>
      <c r="I4" s="490">
        <f>'справка №1-БАЛАНС'!H3</f>
        <v>121554961</v>
      </c>
    </row>
    <row r="5" spans="1:9" ht="15">
      <c r="A5" s="491" t="s">
        <v>4</v>
      </c>
      <c r="B5" s="626">
        <f>'справка №1-БАЛАНС'!E5</f>
        <v>40633</v>
      </c>
      <c r="C5" s="626"/>
      <c r="D5" s="626"/>
      <c r="E5" s="626"/>
      <c r="F5" s="626"/>
      <c r="G5" s="629" t="s">
        <v>3</v>
      </c>
      <c r="H5" s="630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12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>
        <f>+'справка №6'!A109:B109</f>
        <v>40653</v>
      </c>
      <c r="B30" s="628"/>
      <c r="C30" s="628"/>
      <c r="D30" s="449" t="s">
        <v>819</v>
      </c>
      <c r="E30" s="627"/>
      <c r="F30" s="627"/>
      <c r="G30" s="627"/>
      <c r="H30" s="414" t="s">
        <v>781</v>
      </c>
      <c r="I30" s="627"/>
      <c r="J30" s="627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9">
      <selection activeCell="A157" sqref="A157"/>
    </sheetView>
  </sheetViews>
  <sheetFormatPr defaultColWidth="10.75390625" defaultRowHeight="12.75"/>
  <cols>
    <col min="1" max="1" width="49.25390625" style="497" customWidth="1"/>
    <col min="2" max="2" width="8.125" style="507" customWidth="1"/>
    <col min="3" max="3" width="18.00390625" style="497" customWidth="1"/>
    <col min="4" max="4" width="17.375" style="497" customWidth="1"/>
    <col min="5" max="5" width="21.25390625" style="497" customWidth="1"/>
    <col min="6" max="6" width="19.75390625" style="497" customWidth="1"/>
    <col min="7" max="16384" width="10.75390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32" t="str">
        <f>'справка №1-БАЛАНС'!E3</f>
        <v>Ти Би Ай Кредит ЕАД</v>
      </c>
      <c r="C3" s="632"/>
      <c r="D3" s="632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867</v>
      </c>
      <c r="B4" s="633">
        <f>'справка №1-БАЛАНС'!E5</f>
        <v>40633</v>
      </c>
      <c r="C4" s="633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 t="s">
        <v>868</v>
      </c>
      <c r="B10" s="34"/>
      <c r="C10" s="434">
        <v>0</v>
      </c>
      <c r="D10" s="434">
        <v>100</v>
      </c>
      <c r="E10" s="434">
        <v>0</v>
      </c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>
        <f>+'справка №7'!A30</f>
        <v>40653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4" t="s">
        <v>848</v>
      </c>
      <c r="D150" s="634"/>
      <c r="E150" s="634"/>
      <c r="F150" s="634"/>
    </row>
    <row r="151" spans="3:5" ht="12.75">
      <c r="C151" s="505"/>
      <c r="E151" s="505"/>
    </row>
    <row r="154" spans="3:6" ht="12.75">
      <c r="C154" s="634" t="s">
        <v>856</v>
      </c>
      <c r="D154" s="634"/>
      <c r="E154" s="634"/>
      <c r="F154" s="634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TBI CREDIT EAD</cp:lastModifiedBy>
  <cp:lastPrinted>2008-03-26T09:53:05Z</cp:lastPrinted>
  <dcterms:created xsi:type="dcterms:W3CDTF">2000-06-29T12:02:40Z</dcterms:created>
  <dcterms:modified xsi:type="dcterms:W3CDTF">2011-04-19T09:23:21Z</dcterms:modified>
  <cp:category/>
  <cp:version/>
  <cp:contentType/>
  <cp:contentStatus/>
</cp:coreProperties>
</file>