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0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8.xml><?xml version="1.0" encoding="utf-8"?>
<comments xmlns="http://schemas.openxmlformats.org/spreadsheetml/2006/main">
  <authors>
    <author>Dina Paskova</author>
  </authors>
  <commentList>
    <comment ref="A48" authorId="0">
      <text>
        <r>
          <rPr>
            <b/>
            <sz val="8"/>
            <rFont val="Tahoma"/>
            <family val="0"/>
          </rPr>
          <t>Dina Paskova:</t>
        </r>
        <r>
          <rPr>
            <sz val="8"/>
            <rFont val="Tahoma"/>
            <family val="0"/>
          </rPr>
          <t xml:space="preserve">
отива в цедирани вземания
</t>
        </r>
      </text>
    </comment>
  </commentList>
</comments>
</file>

<file path=xl/sharedStrings.xml><?xml version="1.0" encoding="utf-8"?>
<sst xmlns="http://schemas.openxmlformats.org/spreadsheetml/2006/main" count="1079" uniqueCount="898">
  <si>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</si>
  <si>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</si>
  <si>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</si>
  <si>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</si>
  <si>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</si>
  <si>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</si>
  <si>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</si>
  <si>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</si>
  <si>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</si>
  <si>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</si>
  <si>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</si>
  <si>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</si>
  <si>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</si>
  <si>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</si>
  <si>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</si>
  <si>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</si>
  <si>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</si>
  <si>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</si>
  <si>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</si>
  <si>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</si>
  <si>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</si>
  <si>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</si>
  <si>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</si>
  <si>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</si>
  <si>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</si>
  <si>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</si>
  <si>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</si>
  <si>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</si>
  <si>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</si>
  <si>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</si>
  <si>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</si>
  <si>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</si>
  <si>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</si>
  <si>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</si>
  <si>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</si>
  <si>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</si>
  <si>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</si>
  <si>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</si>
  <si>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</si>
  <si>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</si>
  <si>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</si>
  <si>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</si>
  <si>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</si>
  <si>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</si>
  <si>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</si>
  <si>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</si>
  <si>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</si>
  <si>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</si>
  <si>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</si>
  <si>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</si>
  <si>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</si>
  <si>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</si>
  <si>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</si>
  <si>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</si>
  <si>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</si>
  <si>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</si>
  <si>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</si>
  <si>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</si>
  <si>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</si>
  <si>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</si>
  <si>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</si>
  <si>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</si>
  <si>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</si>
  <si>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</si>
  <si>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</si>
  <si>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</si>
  <si>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</si>
  <si>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</si>
  <si>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</si>
  <si>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</si>
  <si>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</si>
  <si>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</si>
  <si>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</si>
  <si>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</si>
  <si>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</si>
  <si>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</si>
  <si>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</si>
  <si>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</si>
  <si>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</si>
  <si>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</si>
  <si>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</si>
  <si>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</si>
  <si>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</si>
  <si>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</si>
  <si>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</si>
  <si>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</si>
  <si>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</si>
  <si>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</si>
  <si>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</si>
  <si>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</si>
  <si>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</si>
  <si>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</si>
  <si>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</si>
  <si>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</si>
  <si>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</si>
  <si>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</si>
  <si>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</si>
  <si>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</si>
  <si>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</si>
  <si>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</si>
  <si>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</si>
  <si>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</si>
  <si>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</si>
  <si>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</si>
  <si>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</si>
  <si>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</si>
  <si>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</si>
  <si>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</si>
  <si>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</si>
  <si>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</si>
  <si>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</si>
  <si>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</si>
  <si>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</si>
  <si>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</si>
  <si>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</si>
  <si>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</si>
  <si>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</si>
  <si>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</si>
  <si>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</si>
  <si>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</si>
  <si>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</si>
  <si>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</si>
  <si>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</si>
  <si>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</si>
  <si>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</si>
  <si>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</si>
  <si>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</si>
  <si>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</si>
  <si>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</si>
  <si>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</si>
  <si>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</si>
  <si>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</si>
  <si>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</si>
  <si>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</si>
  <si>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</si>
  <si>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</si>
  <si>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</si>
  <si>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</si>
  <si>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</si>
  <si>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</si>
  <si>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</si>
  <si>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</si>
  <si>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</si>
  <si>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</si>
  <si>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</si>
  <si>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</si>
  <si>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</si>
  <si>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</si>
  <si>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</si>
  <si>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</si>
  <si>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</si>
  <si>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</si>
  <si>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</si>
  <si>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</si>
  <si>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</si>
  <si>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</si>
  <si>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</si>
  <si>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</si>
  <si>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</si>
  <si>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</si>
  <si>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</si>
  <si>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</si>
  <si>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</si>
  <si>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</si>
  <si>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</si>
  <si>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</si>
  <si>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</si>
  <si>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</si>
  <si>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</si>
  <si>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</si>
  <si>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</si>
  <si>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</si>
  <si>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</si>
  <si>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</si>
  <si>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</si>
  <si>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</si>
  <si>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</si>
  <si>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</si>
  <si>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</si>
  <si>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</si>
  <si>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</si>
  <si>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</si>
  <si>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</si>
  <si>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</si>
  <si>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</si>
  <si>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</si>
  <si>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</si>
  <si>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</si>
  <si>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</si>
  <si>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</si>
  <si>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</si>
  <si>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</si>
  <si>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</si>
  <si>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</si>
  <si>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</si>
  <si>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</si>
  <si>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</si>
  <si>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</si>
  <si>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</si>
  <si>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</si>
  <si>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</si>
  <si>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</si>
  <si>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</si>
  <si>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</si>
  <si>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</si>
  <si>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</si>
  <si>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</si>
  <si>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</si>
  <si>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</si>
  <si>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</si>
  <si>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</si>
  <si>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</si>
  <si>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</si>
  <si>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</si>
  <si>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</si>
  <si>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</si>
  <si>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</si>
  <si>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</si>
  <si>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</si>
  <si>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</si>
  <si>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</si>
  <si>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</si>
  <si>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</si>
  <si>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</si>
  <si>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</si>
  <si>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</si>
  <si>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</si>
  <si>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</si>
  <si>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</si>
  <si>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</si>
  <si>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</si>
  <si>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</si>
  <si>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</si>
  <si>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</si>
  <si>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</si>
  <si>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</si>
  <si>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</si>
  <si>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</si>
  <si>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</si>
  <si>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</si>
  <si>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</si>
  <si>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</si>
  <si>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</si>
  <si>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</si>
  <si>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</si>
  <si>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</si>
  <si>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</si>
  <si>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</si>
  <si>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</si>
  <si>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</si>
  <si>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</si>
  <si>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</si>
  <si>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</si>
  <si>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</si>
  <si>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</si>
  <si>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</si>
  <si>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</si>
  <si>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</si>
  <si>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</si>
  <si>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</si>
  <si>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</si>
  <si>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</si>
  <si>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</si>
  <si>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</si>
  <si>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</si>
  <si>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</si>
  <si>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</si>
  <si>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</si>
  <si>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</si>
  <si>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</si>
  <si>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</si>
  <si>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</si>
  <si>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</si>
  <si>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</si>
  <si>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</si>
  <si>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</si>
  <si>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</si>
  <si>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</si>
  <si>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</si>
  <si>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</si>
  <si>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</si>
  <si>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</si>
  <si>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</si>
  <si>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</si>
  <si>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</si>
  <si>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</si>
  <si>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</si>
  <si>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</si>
  <si>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</si>
  <si>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</si>
  <si>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</si>
  <si>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</si>
  <si>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</si>
  <si>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</si>
  <si>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</si>
  <si>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</si>
  <si>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</si>
  <si>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</si>
  <si>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</si>
  <si>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</si>
  <si>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</si>
  <si>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</si>
  <si>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</si>
  <si>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</si>
  <si>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</si>
  <si>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</si>
  <si>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</si>
  <si>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</si>
  <si>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</si>
  <si>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</si>
  <si>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</si>
  <si>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</si>
  <si>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</si>
  <si>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</si>
  <si>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</si>
  <si>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</si>
  <si>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</si>
  <si>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</si>
  <si>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</si>
  <si>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</si>
  <si>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</si>
  <si>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</si>
  <si>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</si>
  <si>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</si>
  <si>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</si>
  <si>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</si>
  <si>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</si>
  <si>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</si>
  <si>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</si>
  <si>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</si>
  <si>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</si>
  <si>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</si>
  <si>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</si>
  <si>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</si>
  <si>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</si>
  <si>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</si>
  <si>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</si>
  <si>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</si>
  <si>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</si>
  <si>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</si>
  <si>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</si>
  <si>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</si>
  <si>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</si>
  <si>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</si>
  <si>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</si>
  <si>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</si>
  <si>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</si>
  <si>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</si>
  <si>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</si>
  <si>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</si>
  <si>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</si>
  <si>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</si>
  <si>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</si>
  <si>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</si>
  <si>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</si>
  <si>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</si>
  <si>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</si>
  <si>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</si>
  <si>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</si>
  <si>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</si>
  <si>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</si>
  <si>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</si>
  <si>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</si>
  <si>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</si>
  <si>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</si>
  <si>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</si>
  <si>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</si>
  <si>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</si>
  <si>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</si>
  <si>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</si>
  <si>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</si>
  <si>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</si>
  <si>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</si>
  <si>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</si>
  <si>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</si>
  <si>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</si>
  <si>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</si>
  <si>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</si>
  <si>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</si>
  <si>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</si>
  <si>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</si>
  <si>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</si>
  <si>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</si>
  <si>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</si>
  <si>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</si>
  <si>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</si>
  <si>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</si>
  <si>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</si>
  <si>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</si>
  <si>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</si>
  <si>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</si>
  <si>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</si>
  <si>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</si>
  <si>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</si>
  <si>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</si>
  <si>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</si>
  <si>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</si>
  <si>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</si>
  <si>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</si>
  <si>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</si>
  <si>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</si>
  <si>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</si>
  <si>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</si>
  <si>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</si>
  <si>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</si>
  <si>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</si>
  <si>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</si>
  <si>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</si>
  <si>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</si>
  <si>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</si>
  <si>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</si>
  <si>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</si>
  <si>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</si>
  <si>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</si>
  <si>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</si>
  <si>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</si>
  <si>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</si>
  <si>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</si>
  <si>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</si>
  <si>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</si>
  <si>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</si>
  <si>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</si>
  <si>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</si>
  <si>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</si>
  <si>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</si>
  <si>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</si>
  <si>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</si>
  <si>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</si>
  <si>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</si>
  <si>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</si>
  <si>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</si>
  <si>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</si>
  <si>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</si>
  <si>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</si>
  <si>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</si>
  <si>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</si>
  <si>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</si>
  <si>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</si>
  <si>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</si>
  <si>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</si>
  <si>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</si>
  <si>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</si>
  <si>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</si>
  <si>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</si>
  <si>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</si>
  <si>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</si>
  <si>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</si>
  <si>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</si>
  <si>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</si>
  <si>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</si>
  <si>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</si>
  <si>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</si>
  <si>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</si>
  <si>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</si>
  <si>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</si>
  <si>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</si>
  <si>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</si>
  <si>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</si>
  <si>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</si>
  <si>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</si>
  <si>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</si>
  <si>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</si>
  <si>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</si>
  <si>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</si>
  <si>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</si>
  <si>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</si>
  <si>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</si>
  <si>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</si>
  <si>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</si>
  <si>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</si>
  <si>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</si>
  <si>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</si>
  <si>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</si>
  <si>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</si>
  <si>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</si>
  <si>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</si>
  <si>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</si>
  <si>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</si>
  <si>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</si>
  <si>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</si>
  <si>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</si>
  <si>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</si>
  <si>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</si>
  <si>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</si>
  <si>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</si>
  <si>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</si>
  <si>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</si>
  <si>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</si>
  <si>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</si>
  <si>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</si>
  <si>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</si>
  <si>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</si>
  <si>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</si>
  <si>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</si>
  <si>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</si>
  <si>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</si>
  <si>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</si>
  <si>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</si>
  <si>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</si>
  <si>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</si>
  <si>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</si>
  <si>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</si>
  <si>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</si>
  <si>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</si>
  <si>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</si>
  <si>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</si>
  <si>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</si>
  <si>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</si>
  <si>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</si>
  <si>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</si>
  <si>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</si>
  <si>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</si>
  <si>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</si>
  <si>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</si>
  <si>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</si>
  <si>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</si>
  <si>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</si>
  <si>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</si>
  <si>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</si>
  <si>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</si>
  <si>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</si>
  <si>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</si>
  <si>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</si>
  <si>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</si>
  <si>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</si>
  <si>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</si>
  <si>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</si>
  <si>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</si>
  <si>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</si>
  <si>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</si>
  <si>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</si>
  <si>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</si>
  <si>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</si>
  <si>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</si>
  <si>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</si>
  <si>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</si>
  <si>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</si>
  <si>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</si>
  <si>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</si>
  <si>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</si>
  <si>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</si>
  <si>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</si>
  <si>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</si>
  <si>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</si>
  <si>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</si>
  <si>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</si>
  <si>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</si>
  <si>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</si>
  <si>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</si>
  <si>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</si>
  <si>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</si>
  <si>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</si>
  <si>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</si>
  <si>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</si>
  <si>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</si>
  <si>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</si>
  <si>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</si>
  <si>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</si>
  <si>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</si>
  <si>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</si>
  <si>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</si>
  <si>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</si>
  <si>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</si>
  <si>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</si>
  <si>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</si>
  <si>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</si>
  <si>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</si>
  <si>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</si>
  <si>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</si>
  <si>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</si>
  <si>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</si>
  <si>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</si>
  <si>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</si>
  <si>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</si>
  <si>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</si>
  <si>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</si>
  <si>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</si>
  <si>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</si>
  <si>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</si>
  <si>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</si>
  <si>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</si>
  <si>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</si>
  <si>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</si>
  <si>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</si>
  <si>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</si>
  <si>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</si>
  <si>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</si>
  <si>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</si>
  <si>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</si>
  <si>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</si>
  <si>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</si>
  <si>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</si>
  <si>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</si>
  <si>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</si>
  <si>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</si>
  <si>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</si>
  <si>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</si>
  <si>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</si>
  <si>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</si>
  <si>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</si>
  <si>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</si>
  <si>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</si>
  <si>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</si>
  <si>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</si>
  <si>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</si>
  <si>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</si>
  <si>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</si>
  <si>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</si>
  <si>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</si>
  <si>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</si>
  <si>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</si>
  <si>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</si>
  <si>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</si>
  <si>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</si>
  <si>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</si>
  <si>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</si>
  <si>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</si>
  <si>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</si>
  <si>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</si>
  <si>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</si>
  <si>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</si>
  <si>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</si>
  <si>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</si>
  <si>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</si>
  <si>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</si>
  <si>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</si>
  <si>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</si>
  <si>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</si>
  <si>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</si>
  <si>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</si>
  <si>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</si>
  <si>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</si>
  <si>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</si>
  <si>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</si>
  <si>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</si>
  <si>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</si>
  <si>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</si>
  <si>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</si>
  <si>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</si>
  <si>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</si>
  <si>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</si>
  <si>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</si>
  <si>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</si>
  <si>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</si>
  <si>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</si>
  <si>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</si>
  <si>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</si>
  <si>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</si>
  <si>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</si>
  <si>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</si>
  <si>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</si>
  <si>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</si>
  <si>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</si>
  <si>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</si>
  <si>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</si>
  <si>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</si>
  <si>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</si>
  <si>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</si>
  <si>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</si>
  <si>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</si>
  <si>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</si>
  <si>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</si>
  <si>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</si>
  <si>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</si>
  <si>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</si>
  <si>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</si>
  <si>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</si>
  <si>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</si>
  <si>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</si>
  <si>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</si>
  <si>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</si>
  <si>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</si>
  <si>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</si>
  <si>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</si>
  <si>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</si>
  <si>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</si>
  <si>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</si>
  <si>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</si>
  <si>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</si>
  <si>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</si>
  <si>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</si>
  <si>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</si>
  <si>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</si>
  <si>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</si>
  <si>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</si>
  <si>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</si>
  <si>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</si>
  <si>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</si>
  <si>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</si>
  <si>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</si>
  <si>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</si>
  <si>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</si>
  <si>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</si>
  <si>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</si>
  <si>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</si>
  <si>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</si>
  <si>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</si>
  <si>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</si>
  <si>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</si>
  <si>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</si>
  <si>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</si>
  <si>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</si>
  <si>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</si>
  <si>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</si>
  <si>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</si>
  <si>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</si>
  <si>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</si>
  <si>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</si>
  <si>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</si>
  <si>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</si>
  <si>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</si>
  <si>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</si>
  <si>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</si>
  <si>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</si>
  <si>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</si>
  <si>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</si>
  <si>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</si>
  <si>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</si>
  <si>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</si>
  <si>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</si>
  <si>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</si>
  <si>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</si>
  <si>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</si>
  <si>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</si>
  <si>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</si>
  <si>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</si>
  <si>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</si>
  <si>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</si>
  <si>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</si>
  <si>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</si>
  <si>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</si>
  <si>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</si>
  <si>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</si>
  <si>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</si>
  <si>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</si>
  <si>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</si>
  <si>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</si>
  <si>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</si>
  <si>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</si>
  <si>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</si>
  <si>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</si>
  <si>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</si>
  <si>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</si>
  <si>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</si>
  <si>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</si>
  <si>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</si>
  <si>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</si>
  <si>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</si>
  <si>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</si>
  <si>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</si>
  <si>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</si>
  <si>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</si>
  <si>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</si>
  <si>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</si>
  <si>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</si>
  <si>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</si>
  <si>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</si>
  <si>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</si>
  <si>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</si>
  <si>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</si>
  <si>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</si>
  <si>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</si>
  <si>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</si>
  <si>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</si>
  <si>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</si>
  <si>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</si>
  <si>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</si>
  <si>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</si>
  <si>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</si>
  <si>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</si>
  <si>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</si>
  <si>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</si>
  <si>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</si>
  <si>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</si>
  <si>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</si>
  <si>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</si>
  <si>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</si>
  <si>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</si>
  <si>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</si>
  <si>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</si>
  <si>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</si>
  <si>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</si>
  <si>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</si>
  <si>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</si>
  <si>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</si>
  <si>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</si>
  <si>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</si>
  <si>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</si>
  <si>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</si>
  <si>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</si>
  <si>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</si>
  <si>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</si>
  <si>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</si>
  <si>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</si>
  <si>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</si>
  <si>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</si>
  <si>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</si>
  <si>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</si>
  <si>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</si>
  <si>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</si>
  <si>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</si>
  <si>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</si>
  <si>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</si>
  <si>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</si>
  <si>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</si>
  <si>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</si>
  <si>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</si>
  <si>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</si>
  <si>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</si>
  <si>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</si>
  <si>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</si>
  <si>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</si>
  <si>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</si>
  <si>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</si>
  <si>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</si>
  <si>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</si>
  <si>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</si>
  <si>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</si>
  <si>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</si>
  <si>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</si>
  <si>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</si>
  <si>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</si>
  <si>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</si>
  <si>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</si>
  <si>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</si>
  <si>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</si>
  <si>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</si>
  <si>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</si>
  <si>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</si>
  <si>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</si>
  <si>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</si>
  <si>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</si>
  <si>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</si>
  <si>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</si>
  <si>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</si>
  <si>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</si>
  <si>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</si>
  <si>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</si>
  <si>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</si>
  <si>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</si>
  <si>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</si>
  <si>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</si>
  <si>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</si>
  <si>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</si>
  <si>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</si>
  <si>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</si>
  <si>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</si>
  <si>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</si>
  <si>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</si>
  <si>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</si>
  <si>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</si>
  <si>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</si>
  <si>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</si>
  <si>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</si>
  <si>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</si>
  <si>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</si>
  <si>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</si>
  <si>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</si>
  <si>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</si>
  <si>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</si>
  <si>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</si>
  <si>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</si>
  <si>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</si>
  <si>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</si>
  <si>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ЦКБ Асетс Мениджмънт ЕАД</t>
  </si>
  <si>
    <t>2. Проучване и добив на нефт и газ АД</t>
  </si>
  <si>
    <t>6СК Химимпорт Консулт ООД</t>
  </si>
  <si>
    <t>9 Химимпорт груп ЕАД</t>
  </si>
  <si>
    <t>10 Спортен Комплекс Варна АД</t>
  </si>
  <si>
    <t>13 Енргопроект АД</t>
  </si>
  <si>
    <t>1.Конор</t>
  </si>
  <si>
    <t>Химимпорт АД</t>
  </si>
  <si>
    <t>неконсолидиран</t>
  </si>
  <si>
    <t>Забележка: Да се посочи метода на осчетоводяване на инвестициите- себестойност</t>
  </si>
  <si>
    <t>14. Транс Интеркар ЕООД</t>
  </si>
  <si>
    <t xml:space="preserve">5 Химснаб АД </t>
  </si>
  <si>
    <t>7 Химимпорт Лега Консулт ООД</t>
  </si>
  <si>
    <t>8 Бранд Ню Айдиъс ЕООД</t>
  </si>
  <si>
    <t>11 Българска Корабна Компания ЕООД</t>
  </si>
  <si>
    <t xml:space="preserve">12.Пристанище Леспорт АД </t>
  </si>
  <si>
    <t>1. Булхимекс  ЕООД</t>
  </si>
  <si>
    <t>3.Бългериан Авиейшън Груп ЕАД</t>
  </si>
  <si>
    <t>4.Зърнени храни България АД</t>
  </si>
  <si>
    <t>15. Анитас 2003</t>
  </si>
  <si>
    <t>29/4/8</t>
  </si>
  <si>
    <t xml:space="preserve">Дата на съставяне:29/4/08              </t>
  </si>
  <si>
    <t>Дата на съставяне: 29/4/08</t>
  </si>
  <si>
    <t>16. Молет АД</t>
  </si>
  <si>
    <t>17.ЦКБ АД</t>
  </si>
  <si>
    <t>ПОАД Съгласие</t>
  </si>
  <si>
    <t>Холдинг Варна А</t>
  </si>
  <si>
    <t>Холдинг Нов Век</t>
  </si>
  <si>
    <t>Конор ООД</t>
  </si>
  <si>
    <t>Кепитъл Мениджмънт</t>
  </si>
  <si>
    <t xml:space="preserve">Риъл Естейт </t>
  </si>
  <si>
    <t>АП Електротерм</t>
  </si>
  <si>
    <t>Дата на съставяне: 29/4/8</t>
  </si>
  <si>
    <t xml:space="preserve">Дата  на съставяне 29/4/8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</si>
</sst>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8"/>
      <name val="Tahoma"/>
      <family val="0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1" xfId="0" applyFont="1" applyFill="1" applyBorder="1" applyAlignment="1">
      <alignment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>
      <alignment horizontal="justify" vertical="justify" wrapText="1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nsolidation\JUNE'07\chimimport\final%20Working06.2007%20Chimim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nsolidation\HimimportIndPred\Chimimport\final%20Working12.2007%20Chimim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nsolidation\HimimportIndPred\fs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lexander%20Kerezov\Local%20Settings\Temporary%20Internet%20Files\Content.IE5\8TGXKIH6\final%20Working310308Chimim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CFS"/>
      <sheetName val="P&amp;L"/>
      <sheetName val="Notes P&amp;L"/>
      <sheetName val="Tax"/>
      <sheetName val="SCHC"/>
      <sheetName val="PPE"/>
      <sheetName val="ITP"/>
      <sheetName val="Inv.prop"/>
      <sheetName val="Notes"/>
      <sheetName val="related"/>
      <sheetName val="търговски"/>
      <sheetName val="други"/>
      <sheetName val="GT_Custom"/>
    </sheetNames>
    <sheetDataSet>
      <sheetData sheetId="6">
        <row r="69">
          <cell r="B69">
            <v>401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CFS"/>
      <sheetName val="P&amp;L"/>
      <sheetName val="Notes P&amp;L"/>
      <sheetName val="Tax"/>
      <sheetName val="SCHC"/>
      <sheetName val="PPE"/>
      <sheetName val="ITP"/>
      <sheetName val="Inv.prop"/>
      <sheetName val="Notes"/>
      <sheetName val="Receiv_group"/>
      <sheetName val="Payables_group"/>
      <sheetName val="търговски"/>
      <sheetName val="Payables_Other"/>
      <sheetName val="promeni i vyprosi"/>
      <sheetName val="Receiv_Other"/>
      <sheetName val="GT_Custom"/>
    </sheetNames>
    <sheetDataSet>
      <sheetData sheetId="9">
        <row r="116">
          <cell r="B116">
            <v>32</v>
          </cell>
        </row>
        <row r="117">
          <cell r="B117">
            <v>123</v>
          </cell>
        </row>
        <row r="162">
          <cell r="I162">
            <v>20065</v>
          </cell>
        </row>
        <row r="236">
          <cell r="B236">
            <v>1428</v>
          </cell>
        </row>
        <row r="237">
          <cell r="B237">
            <v>197</v>
          </cell>
        </row>
        <row r="248">
          <cell r="B248">
            <v>14</v>
          </cell>
        </row>
      </sheetData>
      <sheetData sheetId="13">
        <row r="16">
          <cell r="B16">
            <v>96</v>
          </cell>
        </row>
        <row r="22">
          <cell r="B22">
            <v>107</v>
          </cell>
        </row>
      </sheetData>
      <sheetData sheetId="15">
        <row r="8">
          <cell r="B8">
            <v>39</v>
          </cell>
        </row>
        <row r="47">
          <cell r="B47">
            <v>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orot"/>
      <sheetName val="balance"/>
      <sheetName val="P&amp;L (3)"/>
      <sheetName val="P&amp;L (2)"/>
      <sheetName val="P&amp;L"/>
      <sheetName val="CFS (2)"/>
      <sheetName val="CFS"/>
      <sheetName val="SChC"/>
      <sheetName val="PPE"/>
      <sheetName val="IntA"/>
      <sheetName val="InvP"/>
      <sheetName val="LRFA"/>
      <sheetName val="SRFA (2)"/>
      <sheetName val="DefTax"/>
      <sheetName val="Lease"/>
      <sheetName val="Subs"/>
      <sheetName val="Assoc"/>
      <sheetName val="NotesP&amp;L"/>
      <sheetName val="Notes"/>
      <sheetName val="OthRec&amp;Pay"/>
      <sheetName val="ShCap"/>
      <sheetName val="PaySt"/>
      <sheetName val="L&amp;STFL"/>
      <sheetName val="related"/>
      <sheetName val="relatedR&amp;P "/>
      <sheetName val="Ris"/>
      <sheetName val="INtREC&amp;PAY"/>
      <sheetName val="ОПРлева"/>
      <sheetName val="401100"/>
      <sheetName val="402000"/>
      <sheetName val="411"/>
      <sheetName val="InterestPayables"/>
      <sheetName val="InterestReceivables"/>
    </sheetNames>
    <sheetDataSet>
      <sheetData sheetId="18">
        <row r="68">
          <cell r="B68">
            <v>2473</v>
          </cell>
        </row>
        <row r="69">
          <cell r="B69">
            <v>1620</v>
          </cell>
        </row>
        <row r="70">
          <cell r="B70">
            <v>3661</v>
          </cell>
        </row>
        <row r="73">
          <cell r="B73">
            <v>2233</v>
          </cell>
        </row>
      </sheetData>
      <sheetData sheetId="22">
        <row r="23">
          <cell r="B23">
            <v>4642</v>
          </cell>
        </row>
        <row r="24">
          <cell r="B24">
            <v>20038</v>
          </cell>
        </row>
        <row r="46">
          <cell r="B46">
            <v>2920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orot (2)"/>
      <sheetName val="balance"/>
      <sheetName val="CFS"/>
      <sheetName val="P&amp;L"/>
      <sheetName val="Notes P&amp;L"/>
      <sheetName val="Tax"/>
      <sheetName val="IntA"/>
      <sheetName val="InvP"/>
      <sheetName val="PPE (2)"/>
      <sheetName val="SCHC"/>
      <sheetName val="Lease"/>
      <sheetName val="Notes"/>
      <sheetName val="Receiv_group"/>
      <sheetName val="Payables_group"/>
      <sheetName val="търговски"/>
      <sheetName val="Payables_Other"/>
      <sheetName val="promeni i vyprosi"/>
      <sheetName val="Receiv_Other"/>
      <sheetName val="GT_Custom"/>
    </sheetNames>
    <sheetDataSet>
      <sheetData sheetId="1">
        <row r="23">
          <cell r="C23">
            <v>91906</v>
          </cell>
        </row>
        <row r="24">
          <cell r="C24">
            <v>3176</v>
          </cell>
        </row>
        <row r="25">
          <cell r="C25">
            <v>16814</v>
          </cell>
        </row>
        <row r="61">
          <cell r="C61">
            <v>6349</v>
          </cell>
        </row>
      </sheetData>
      <sheetData sheetId="11">
        <row r="9">
          <cell r="D9">
            <v>27632</v>
          </cell>
        </row>
        <row r="45">
          <cell r="D45">
            <v>20477</v>
          </cell>
        </row>
        <row r="139">
          <cell r="B139">
            <v>224</v>
          </cell>
        </row>
        <row r="227">
          <cell r="B227">
            <v>12182</v>
          </cell>
        </row>
        <row r="235">
          <cell r="B235">
            <v>41</v>
          </cell>
        </row>
        <row r="251">
          <cell r="B251">
            <v>947</v>
          </cell>
        </row>
      </sheetData>
      <sheetData sheetId="12">
        <row r="19">
          <cell r="B19">
            <v>742</v>
          </cell>
        </row>
        <row r="22">
          <cell r="B22">
            <v>862</v>
          </cell>
        </row>
        <row r="38">
          <cell r="B38">
            <v>7469</v>
          </cell>
        </row>
        <row r="39">
          <cell r="B39">
            <v>1251</v>
          </cell>
        </row>
        <row r="40">
          <cell r="B40">
            <v>36972</v>
          </cell>
        </row>
      </sheetData>
      <sheetData sheetId="14">
        <row r="25">
          <cell r="B25">
            <v>5991</v>
          </cell>
        </row>
      </sheetData>
      <sheetData sheetId="17">
        <row r="23">
          <cell r="F23">
            <v>1688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view="pageBreakPreview" zoomScaleSheetLayoutView="100" workbookViewId="0" topLeftCell="A67">
      <selection activeCell="C70" sqref="C70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871</v>
      </c>
      <c r="F3" s="217" t="s">
        <v>2</v>
      </c>
      <c r="G3" s="172"/>
      <c r="H3" s="461" t="s">
        <v>159</v>
      </c>
    </row>
    <row r="4" spans="1:8" ht="15">
      <c r="A4" s="583" t="s">
        <v>3</v>
      </c>
      <c r="B4" s="589"/>
      <c r="C4" s="589"/>
      <c r="D4" s="589"/>
      <c r="E4" s="504" t="s">
        <v>872</v>
      </c>
      <c r="F4" s="585" t="s">
        <v>4</v>
      </c>
      <c r="G4" s="586"/>
      <c r="H4" s="461" t="s">
        <v>159</v>
      </c>
    </row>
    <row r="5" spans="1:8" ht="15">
      <c r="A5" s="583" t="s">
        <v>5</v>
      </c>
      <c r="B5" s="584"/>
      <c r="C5" s="584"/>
      <c r="D5" s="584"/>
      <c r="E5" s="505">
        <v>39538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8581</v>
      </c>
      <c r="D11" s="151">
        <f>'[1]PPE'!$B$69</f>
        <v>401</v>
      </c>
      <c r="E11" s="237" t="s">
        <v>22</v>
      </c>
      <c r="F11" s="242" t="s">
        <v>23</v>
      </c>
      <c r="G11" s="152">
        <v>150000</v>
      </c>
      <c r="H11" s="152">
        <v>150000</v>
      </c>
    </row>
    <row r="12" spans="1:8" ht="15">
      <c r="A12" s="235" t="s">
        <v>24</v>
      </c>
      <c r="B12" s="241" t="s">
        <v>25</v>
      </c>
      <c r="C12" s="151">
        <v>500</v>
      </c>
      <c r="D12" s="151">
        <v>506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31</v>
      </c>
      <c r="D13" s="151">
        <v>36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16196</v>
      </c>
      <c r="D15" s="151">
        <f>16747+0</f>
        <v>16747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122</v>
      </c>
      <c r="D16" s="151">
        <v>125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4052</v>
      </c>
      <c r="D17" s="151">
        <v>4023</v>
      </c>
      <c r="E17" s="243" t="s">
        <v>46</v>
      </c>
      <c r="F17" s="245" t="s">
        <v>47</v>
      </c>
      <c r="G17" s="154">
        <f>G11+G14+G15+G16</f>
        <v>150000</v>
      </c>
      <c r="H17" s="154">
        <f>H11+H14+H15+H16</f>
        <v>150000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29482</v>
      </c>
      <c r="D19" s="155">
        <f>SUM(D11:D18)</f>
        <v>21838</v>
      </c>
      <c r="E19" s="237" t="s">
        <v>53</v>
      </c>
      <c r="F19" s="242" t="s">
        <v>54</v>
      </c>
      <c r="G19" s="152">
        <v>232343</v>
      </c>
      <c r="H19" s="152">
        <v>232343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1150</v>
      </c>
      <c r="D20" s="151">
        <v>1170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6833</v>
      </c>
      <c r="H21" s="156">
        <f>SUM(H22:H24)</f>
        <v>6834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5528</v>
      </c>
      <c r="H22" s="152">
        <v>5529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2</v>
      </c>
      <c r="E24" s="237" t="s">
        <v>72</v>
      </c>
      <c r="F24" s="242" t="s">
        <v>73</v>
      </c>
      <c r="G24" s="152">
        <v>1305</v>
      </c>
      <c r="H24" s="152">
        <v>1305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239176</v>
      </c>
      <c r="H25" s="154">
        <f>H19+H20+H21</f>
        <v>239177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183</v>
      </c>
      <c r="D26" s="151">
        <f>245</f>
        <v>245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185</v>
      </c>
      <c r="D27" s="155">
        <f>SUM(D23:D26)</f>
        <v>247</v>
      </c>
      <c r="E27" s="253" t="s">
        <v>83</v>
      </c>
      <c r="F27" s="242" t="s">
        <v>84</v>
      </c>
      <c r="G27" s="154">
        <f>SUM(G28:G30)</f>
        <v>148708</v>
      </c>
      <c r="H27" s="154">
        <f>SUM(H28:H30)</f>
        <v>66225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148708</v>
      </c>
      <c r="H28" s="152">
        <v>66225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16145</v>
      </c>
      <c r="H31" s="152">
        <v>82483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164853</v>
      </c>
      <c r="H33" s="154">
        <f>H27+H31+H32</f>
        <v>148708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435218</v>
      </c>
      <c r="D34" s="155">
        <f>SUM(D35:D38)</f>
        <v>359154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388496</v>
      </c>
      <c r="D35" s="151">
        <v>340387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554029</v>
      </c>
      <c r="H36" s="154">
        <f>H25+H17+H33</f>
        <v>537885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46722</v>
      </c>
      <c r="D37" s="151">
        <v>18767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14932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>
        <v>14932</v>
      </c>
      <c r="E43" s="243" t="s">
        <v>130</v>
      </c>
      <c r="F43" s="242" t="s">
        <v>131</v>
      </c>
      <c r="G43" s="152">
        <v>172525</v>
      </c>
      <c r="H43" s="152">
        <v>178597</v>
      </c>
      <c r="M43" s="157"/>
    </row>
    <row r="44" spans="1:8" ht="15">
      <c r="A44" s="235" t="s">
        <v>132</v>
      </c>
      <c r="B44" s="264" t="s">
        <v>133</v>
      </c>
      <c r="C44" s="151">
        <v>108</v>
      </c>
      <c r="D44" s="151">
        <v>4578</v>
      </c>
      <c r="E44" s="268" t="s">
        <v>134</v>
      </c>
      <c r="F44" s="242" t="s">
        <v>135</v>
      </c>
      <c r="G44" s="152">
        <v>0</v>
      </c>
      <c r="H44" s="152">
        <v>0</v>
      </c>
    </row>
    <row r="45" spans="1:15" ht="15">
      <c r="A45" s="235" t="s">
        <v>136</v>
      </c>
      <c r="B45" s="249" t="s">
        <v>137</v>
      </c>
      <c r="C45" s="155">
        <f>C34+C39+C44</f>
        <v>435326</v>
      </c>
      <c r="D45" s="155">
        <f>D34+D39+D44</f>
        <v>378664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3245</v>
      </c>
      <c r="H46" s="152">
        <f>864+3745</f>
        <v>4609</v>
      </c>
    </row>
    <row r="47" spans="1:13" ht="15">
      <c r="A47" s="235" t="s">
        <v>143</v>
      </c>
      <c r="B47" s="241" t="s">
        <v>144</v>
      </c>
      <c r="C47" s="151">
        <v>77988</v>
      </c>
      <c r="D47" s="151">
        <v>72465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0</v>
      </c>
      <c r="H48" s="152">
        <v>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175770</v>
      </c>
      <c r="H49" s="154">
        <f>SUM(H43:H48)</f>
        <v>183206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f>14164+1118+19</f>
        <v>15301</v>
      </c>
      <c r="D50" s="151">
        <v>23168</v>
      </c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93289</v>
      </c>
      <c r="D51" s="155">
        <f>SUM(D47:D50)</f>
        <v>95633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0</v>
      </c>
      <c r="H53" s="152">
        <v>0</v>
      </c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559432</v>
      </c>
      <c r="D55" s="155">
        <f>D19+D20+D21+D27+D32+D45+D51+D53+D54</f>
        <v>497552</v>
      </c>
      <c r="E55" s="237" t="s">
        <v>172</v>
      </c>
      <c r="F55" s="261" t="s">
        <v>173</v>
      </c>
      <c r="G55" s="154">
        <f>G49+G51+G52+G53+G54</f>
        <v>175770</v>
      </c>
      <c r="H55" s="154">
        <f>H49+H51+H52+H53+H54</f>
        <v>183206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f>'[2]Notes'!$B$116</f>
        <v>32</v>
      </c>
      <c r="D58" s="151">
        <f>'[2]Notes'!$B$116</f>
        <v>32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29382</v>
      </c>
      <c r="H59" s="152">
        <f>'[3]L&amp;STFL'!$B$24+'[3]L&amp;STFL'!$B$46-'[3]L&amp;STFL'!$B$46</f>
        <v>20038</v>
      </c>
      <c r="M59" s="157"/>
    </row>
    <row r="60" spans="1:8" ht="15">
      <c r="A60" s="235" t="s">
        <v>183</v>
      </c>
      <c r="B60" s="241" t="s">
        <v>184</v>
      </c>
      <c r="C60" s="151">
        <v>118</v>
      </c>
      <c r="D60" s="151">
        <f>'[2]Notes'!$B$117</f>
        <v>123</v>
      </c>
      <c r="E60" s="237" t="s">
        <v>185</v>
      </c>
      <c r="F60" s="242" t="s">
        <v>186</v>
      </c>
      <c r="G60" s="152">
        <v>3799</v>
      </c>
      <c r="H60" s="152">
        <f>'[3]L&amp;STFL'!$B$23+'[3]Notes'!$B$68+'[3]Notes'!$B$69</f>
        <v>8735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30271</v>
      </c>
      <c r="H61" s="154">
        <f>SUM(H62:H68)</f>
        <v>18924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23150</v>
      </c>
      <c r="H62" s="152">
        <v>12405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150</v>
      </c>
      <c r="D64" s="155">
        <f>SUM(D58:D63)</f>
        <v>155</v>
      </c>
      <c r="E64" s="237" t="s">
        <v>200</v>
      </c>
      <c r="F64" s="242" t="s">
        <v>201</v>
      </c>
      <c r="G64" s="152">
        <v>5991</v>
      </c>
      <c r="H64" s="152">
        <f>'[3]Notes'!$B$70+'[3]Notes'!$B$73</f>
        <v>5894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41</v>
      </c>
      <c r="H66" s="152">
        <v>44</v>
      </c>
    </row>
    <row r="67" spans="1:8" ht="15">
      <c r="A67" s="235" t="s">
        <v>207</v>
      </c>
      <c r="B67" s="241" t="s">
        <v>208</v>
      </c>
      <c r="C67" s="151">
        <v>36972</v>
      </c>
      <c r="D67" s="151">
        <v>22741</v>
      </c>
      <c r="E67" s="237" t="s">
        <v>209</v>
      </c>
      <c r="F67" s="242" t="s">
        <v>210</v>
      </c>
      <c r="G67" s="152">
        <v>22</v>
      </c>
      <c r="H67" s="152">
        <f>'[2]Notes'!$B$248</f>
        <v>14</v>
      </c>
    </row>
    <row r="68" spans="1:8" ht="15">
      <c r="A68" s="235" t="s">
        <v>211</v>
      </c>
      <c r="B68" s="241" t="s">
        <v>212</v>
      </c>
      <c r="C68" s="151">
        <v>3176</v>
      </c>
      <c r="D68" s="151">
        <v>4179</v>
      </c>
      <c r="E68" s="237" t="s">
        <v>213</v>
      </c>
      <c r="F68" s="242" t="s">
        <v>214</v>
      </c>
      <c r="G68" s="152">
        <v>1067</v>
      </c>
      <c r="H68" s="152">
        <v>567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6242</v>
      </c>
      <c r="H69" s="152">
        <f>9189-107</f>
        <v>9082</v>
      </c>
    </row>
    <row r="70" spans="1:8" ht="25.5">
      <c r="A70" s="235" t="s">
        <v>218</v>
      </c>
      <c r="B70" s="241" t="s">
        <v>219</v>
      </c>
      <c r="C70" s="151">
        <f>93024-1118</f>
        <v>91906</v>
      </c>
      <c r="D70" s="151">
        <v>76191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224</v>
      </c>
      <c r="D71" s="151">
        <v>135</v>
      </c>
      <c r="E71" s="253" t="s">
        <v>46</v>
      </c>
      <c r="F71" s="273" t="s">
        <v>224</v>
      </c>
      <c r="G71" s="161">
        <f>G59+G60+G61+G69+G70</f>
        <v>69694</v>
      </c>
      <c r="H71" s="161">
        <f>H59+H60+H61+H69+H70</f>
        <v>56779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1688</v>
      </c>
      <c r="D72" s="151">
        <f>'[2]Receiv_Other'!$B$8</f>
        <v>39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f>14905-19</f>
        <v>14886</v>
      </c>
      <c r="D74" s="151">
        <f>4339+3987+2783-96</f>
        <v>11013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148852</v>
      </c>
      <c r="D75" s="155">
        <f>SUM(D67:D74)</f>
        <v>114298</v>
      </c>
      <c r="E75" s="251" t="s">
        <v>160</v>
      </c>
      <c r="F75" s="245" t="s">
        <v>234</v>
      </c>
      <c r="G75" s="152">
        <f>'[2]Payables_Other'!$B$22</f>
        <v>107</v>
      </c>
      <c r="H75" s="152">
        <v>107</v>
      </c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69801</v>
      </c>
      <c r="H79" s="162">
        <f>H71+H74+H75+H76</f>
        <v>56886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5394</v>
      </c>
      <c r="D82" s="151">
        <v>11742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f>61289</f>
        <v>61289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5394</v>
      </c>
      <c r="D84" s="155">
        <f>D83+D82+D78</f>
        <v>73031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21769</v>
      </c>
      <c r="D87" s="151">
        <f>'[2]Notes'!$I$162</f>
        <v>20065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63987</v>
      </c>
      <c r="D88" s="151">
        <v>72780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85756</v>
      </c>
      <c r="D91" s="155">
        <f>SUM(D87:D90)</f>
        <v>92845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16</v>
      </c>
      <c r="D92" s="151">
        <f>'[2]Receiv_Other'!$B$47</f>
        <v>96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240168</v>
      </c>
      <c r="D93" s="155">
        <f>D64+D75+D84+D91+D92</f>
        <v>280425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799600</v>
      </c>
      <c r="D94" s="164">
        <f>D93+D55</f>
        <v>777977</v>
      </c>
      <c r="E94" s="449" t="s">
        <v>270</v>
      </c>
      <c r="F94" s="289" t="s">
        <v>271</v>
      </c>
      <c r="G94" s="165">
        <f>G36+G39+G55+G79</f>
        <v>799600</v>
      </c>
      <c r="H94" s="165">
        <f>H36+H39+H55+H79</f>
        <v>777977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 t="s">
        <v>884</v>
      </c>
      <c r="C98" s="587" t="s">
        <v>273</v>
      </c>
      <c r="D98" s="587"/>
      <c r="E98" s="58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856</v>
      </c>
      <c r="D100" s="588"/>
      <c r="E100" s="58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3937007874015748" bottom="0.3937007874015748" header="0.15748031496062992" footer="0.15748031496062992"/>
  <pageSetup fitToHeight="1000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9" t="str">
        <f>'справка №1-БАЛАНС'!E3</f>
        <v>Химимпорт АД</v>
      </c>
      <c r="C2" s="579"/>
      <c r="D2" s="579"/>
      <c r="E2" s="579"/>
      <c r="F2" s="581" t="s">
        <v>2</v>
      </c>
      <c r="G2" s="581"/>
      <c r="H2" s="526" t="str">
        <f>'справка №1-БАЛАНС'!H3</f>
        <v> </v>
      </c>
    </row>
    <row r="3" spans="1:8" ht="15">
      <c r="A3" s="467" t="s">
        <v>275</v>
      </c>
      <c r="B3" s="579" t="str">
        <f>'справка №1-БАЛАНС'!E4</f>
        <v>неконсолидиран</v>
      </c>
      <c r="C3" s="579"/>
      <c r="D3" s="579"/>
      <c r="E3" s="57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0">
        <f>'справка №1-БАЛАНС'!E5</f>
        <v>39538</v>
      </c>
      <c r="C4" s="580"/>
      <c r="D4" s="58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9</v>
      </c>
      <c r="D9" s="46">
        <v>7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760</v>
      </c>
      <c r="D10" s="46">
        <v>1026</v>
      </c>
      <c r="E10" s="298" t="s">
        <v>289</v>
      </c>
      <c r="F10" s="549" t="s">
        <v>290</v>
      </c>
      <c r="G10" s="550">
        <v>1007</v>
      </c>
      <c r="H10" s="550">
        <v>6</v>
      </c>
    </row>
    <row r="11" spans="1:8" ht="12">
      <c r="A11" s="298" t="s">
        <v>291</v>
      </c>
      <c r="B11" s="299" t="s">
        <v>292</v>
      </c>
      <c r="C11" s="46">
        <v>650</v>
      </c>
      <c r="D11" s="46">
        <v>650</v>
      </c>
      <c r="E11" s="300" t="s">
        <v>293</v>
      </c>
      <c r="F11" s="549" t="s">
        <v>294</v>
      </c>
      <c r="G11" s="550">
        <v>9</v>
      </c>
      <c r="H11" s="550">
        <v>41</v>
      </c>
    </row>
    <row r="12" spans="1:8" ht="12">
      <c r="A12" s="298" t="s">
        <v>295</v>
      </c>
      <c r="B12" s="299" t="s">
        <v>296</v>
      </c>
      <c r="C12" s="46">
        <v>145</v>
      </c>
      <c r="D12" s="46">
        <v>74</v>
      </c>
      <c r="E12" s="300" t="s">
        <v>78</v>
      </c>
      <c r="F12" s="549" t="s">
        <v>297</v>
      </c>
      <c r="G12" s="550">
        <v>1433</v>
      </c>
      <c r="H12" s="550">
        <v>287</v>
      </c>
    </row>
    <row r="13" spans="1:18" ht="12">
      <c r="A13" s="298" t="s">
        <v>298</v>
      </c>
      <c r="B13" s="299" t="s">
        <v>299</v>
      </c>
      <c r="C13" s="46">
        <v>24</v>
      </c>
      <c r="D13" s="46">
        <v>13</v>
      </c>
      <c r="E13" s="301" t="s">
        <v>51</v>
      </c>
      <c r="F13" s="551" t="s">
        <v>300</v>
      </c>
      <c r="G13" s="548">
        <f>SUM(G9:G12)</f>
        <v>2449</v>
      </c>
      <c r="H13" s="548">
        <f>SUM(H9:H12)</f>
        <v>334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301</v>
      </c>
      <c r="B14" s="299" t="s">
        <v>302</v>
      </c>
      <c r="C14" s="46">
        <v>5</v>
      </c>
      <c r="D14" s="46">
        <v>3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80</v>
      </c>
      <c r="D16" s="47">
        <v>44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1673</v>
      </c>
      <c r="D19" s="49">
        <f>SUM(D9:D15)+D16</f>
        <v>1817</v>
      </c>
      <c r="E19" s="304" t="s">
        <v>317</v>
      </c>
      <c r="F19" s="552" t="s">
        <v>318</v>
      </c>
      <c r="G19" s="550">
        <v>3646</v>
      </c>
      <c r="H19" s="550">
        <v>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12718</v>
      </c>
      <c r="H21" s="550">
        <v>19422</v>
      </c>
    </row>
    <row r="22" spans="1:8" ht="24">
      <c r="A22" s="304" t="s">
        <v>324</v>
      </c>
      <c r="B22" s="305" t="s">
        <v>325</v>
      </c>
      <c r="C22" s="46">
        <v>606</v>
      </c>
      <c r="D22" s="46">
        <v>292</v>
      </c>
      <c r="E22" s="304" t="s">
        <v>326</v>
      </c>
      <c r="F22" s="552" t="s">
        <v>327</v>
      </c>
      <c r="G22" s="550">
        <v>599</v>
      </c>
      <c r="H22" s="550">
        <v>11</v>
      </c>
    </row>
    <row r="23" spans="1:8" ht="24">
      <c r="A23" s="298" t="s">
        <v>328</v>
      </c>
      <c r="B23" s="305" t="s">
        <v>329</v>
      </c>
      <c r="C23" s="46">
        <v>1109</v>
      </c>
      <c r="D23" s="46">
        <v>6588</v>
      </c>
      <c r="E23" s="298" t="s">
        <v>330</v>
      </c>
      <c r="F23" s="552" t="s">
        <v>331</v>
      </c>
      <c r="G23" s="550">
        <v>644</v>
      </c>
      <c r="H23" s="550"/>
    </row>
    <row r="24" spans="1:18" ht="24">
      <c r="A24" s="298" t="s">
        <v>332</v>
      </c>
      <c r="B24" s="305" t="s">
        <v>333</v>
      </c>
      <c r="C24" s="46">
        <v>11</v>
      </c>
      <c r="D24" s="46">
        <v>0</v>
      </c>
      <c r="E24" s="301" t="s">
        <v>103</v>
      </c>
      <c r="F24" s="554" t="s">
        <v>334</v>
      </c>
      <c r="G24" s="548">
        <f>SUM(G19:G23)</f>
        <v>17607</v>
      </c>
      <c r="H24" s="548">
        <f>SUM(H19:H23)</f>
        <v>19435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8</v>
      </c>
      <c r="D25" s="46">
        <v>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1734</v>
      </c>
      <c r="D26" s="49">
        <f>SUM(D22:D25)</f>
        <v>6886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337</v>
      </c>
      <c r="B28" s="293" t="s">
        <v>338</v>
      </c>
      <c r="C28" s="50">
        <f>C26+C19</f>
        <v>3407</v>
      </c>
      <c r="D28" s="50">
        <f>D26+D19</f>
        <v>8703</v>
      </c>
      <c r="E28" s="127" t="s">
        <v>339</v>
      </c>
      <c r="F28" s="554" t="s">
        <v>340</v>
      </c>
      <c r="G28" s="548">
        <f>G13+G15+G24</f>
        <v>20056</v>
      </c>
      <c r="H28" s="548">
        <f>H13+H15+H24</f>
        <v>19769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16649</v>
      </c>
      <c r="D30" s="50">
        <f>IF((H28-D28)&gt;0,H28-D28,0)</f>
        <v>11066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3407</v>
      </c>
      <c r="D33" s="49">
        <f>D28+D31+D32</f>
        <v>8703</v>
      </c>
      <c r="E33" s="127" t="s">
        <v>353</v>
      </c>
      <c r="F33" s="554" t="s">
        <v>354</v>
      </c>
      <c r="G33" s="53">
        <f>G32+G31+G28</f>
        <v>20056</v>
      </c>
      <c r="H33" s="53">
        <f>H32+H31+H28</f>
        <v>19769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16649</v>
      </c>
      <c r="D34" s="50">
        <f>IF((H33-D33)&gt;0,H33-D33,0)</f>
        <v>11066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504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361</v>
      </c>
      <c r="B36" s="305" t="s">
        <v>362</v>
      </c>
      <c r="C36" s="46">
        <v>504</v>
      </c>
      <c r="D36" s="46">
        <v>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24">
      <c r="A39" s="312" t="s">
        <v>367</v>
      </c>
      <c r="B39" s="129" t="s">
        <v>368</v>
      </c>
      <c r="C39" s="460">
        <f>+IF((G33-C33-C35)&gt;0,G33-C33-C35,0)</f>
        <v>16145</v>
      </c>
      <c r="D39" s="460">
        <f>+IF((H33-D33-D35)&gt;0,H33-D33-D35,0)</f>
        <v>11066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16145</v>
      </c>
      <c r="D41" s="52">
        <f>IF(H39=0,IF(D39-D40&gt;0,D39-D40+H40,0),IF(H39-H40&lt;0,H40-H39+D39,0))</f>
        <v>11066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20056</v>
      </c>
      <c r="D42" s="53">
        <f>D33+D35+D39</f>
        <v>19769</v>
      </c>
      <c r="E42" s="128" t="s">
        <v>380</v>
      </c>
      <c r="F42" s="129" t="s">
        <v>381</v>
      </c>
      <c r="G42" s="53">
        <f>G39+G33</f>
        <v>20056</v>
      </c>
      <c r="H42" s="53">
        <f>H39+H33</f>
        <v>19769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2" t="s">
        <v>862</v>
      </c>
      <c r="B45" s="582"/>
      <c r="C45" s="582"/>
      <c r="D45" s="582"/>
      <c r="E45" s="58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39567</v>
      </c>
      <c r="C48" s="427" t="s">
        <v>383</v>
      </c>
      <c r="D48" s="590"/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783</v>
      </c>
      <c r="D50" s="578"/>
      <c r="E50" s="578"/>
      <c r="F50" s="578"/>
      <c r="G50" s="578"/>
      <c r="H50" s="57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D47" sqref="D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Химимпорт АД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39538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2723</v>
      </c>
      <c r="D10" s="54">
        <v>4903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-3725</v>
      </c>
      <c r="D11" s="54">
        <v>-1847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392</v>
      </c>
      <c r="B12" s="333" t="s">
        <v>393</v>
      </c>
      <c r="C12" s="54">
        <f>21512-15589+37717</f>
        <v>43640</v>
      </c>
      <c r="D12" s="54">
        <f>39334-32347</f>
        <v>6987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-177</v>
      </c>
      <c r="D13" s="54">
        <v>-75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-11</v>
      </c>
      <c r="D14" s="54">
        <v>-33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>
        <v>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588</v>
      </c>
      <c r="D18" s="54">
        <v>11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0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43038</v>
      </c>
      <c r="D20" s="55">
        <f>SUM(D10:D19)</f>
        <v>9948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-8211</v>
      </c>
      <c r="D22" s="54">
        <v>-571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0</v>
      </c>
      <c r="D23" s="54">
        <v>29488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-27632</v>
      </c>
      <c r="D27" s="54">
        <v>-30400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-5523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-41366</v>
      </c>
      <c r="D32" s="55">
        <f>SUM(D22:D31)</f>
        <v>-1483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1469</v>
      </c>
      <c r="D36" s="54"/>
      <c r="E36" s="130"/>
      <c r="F36" s="130"/>
    </row>
    <row r="37" spans="1:6" ht="12">
      <c r="A37" s="332" t="s">
        <v>439</v>
      </c>
      <c r="B37" s="333" t="s">
        <v>440</v>
      </c>
      <c r="C37" s="54">
        <v>-8806</v>
      </c>
      <c r="D37" s="54">
        <v>-958</v>
      </c>
      <c r="E37" s="130"/>
      <c r="F37" s="130"/>
    </row>
    <row r="38" spans="1:6" ht="12">
      <c r="A38" s="332" t="s">
        <v>441</v>
      </c>
      <c r="B38" s="333" t="s">
        <v>442</v>
      </c>
      <c r="C38" s="54">
        <v>-1039</v>
      </c>
      <c r="D38" s="54">
        <v>-536</v>
      </c>
      <c r="E38" s="130"/>
      <c r="F38" s="130"/>
    </row>
    <row r="39" spans="1:6" ht="12">
      <c r="A39" s="332" t="s">
        <v>443</v>
      </c>
      <c r="B39" s="333" t="s">
        <v>444</v>
      </c>
      <c r="C39" s="54">
        <v>-385</v>
      </c>
      <c r="D39" s="54">
        <v>-289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-8761</v>
      </c>
      <c r="D42" s="55">
        <f>SUM(D34:D41)</f>
        <v>-1783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-7089</v>
      </c>
      <c r="D43" s="55">
        <f>D42+D32+D20</f>
        <v>6682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92845</v>
      </c>
      <c r="D44" s="132">
        <v>26392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85756</v>
      </c>
      <c r="D45" s="55">
        <f>D44+D43</f>
        <v>33074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f>'справка №1-БАЛАНС'!C87+'справка №1-БАЛАНС'!C88+'справка №1-БАЛАНС'!C90</f>
        <v>85756</v>
      </c>
      <c r="D46" s="56">
        <v>33074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f>'справка №1-БАЛАНС'!C89</f>
        <v>0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 t="s">
        <v>884</v>
      </c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783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39" sqref="A39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2" t="s">
        <v>461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Химимпорт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 t="str">
        <f>'справка №1-БАЛАНС'!H3</f>
        <v> </v>
      </c>
      <c r="N3" s="2"/>
    </row>
    <row r="4" spans="1:15" s="532" customFormat="1" ht="13.5" customHeight="1">
      <c r="A4" s="467" t="s">
        <v>462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>
        <f>'справка №1-БАЛАНС'!E5</f>
        <v>39538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150000</v>
      </c>
      <c r="D11" s="58">
        <f>'справка №1-БАЛАНС'!H19</f>
        <v>232343</v>
      </c>
      <c r="E11" s="58">
        <f>'справка №1-БАЛАНС'!H20</f>
        <v>0</v>
      </c>
      <c r="F11" s="58">
        <f>'справка №1-БАЛАНС'!H22</f>
        <v>5529</v>
      </c>
      <c r="G11" s="58">
        <f>'справка №1-БАЛАНС'!H23</f>
        <v>0</v>
      </c>
      <c r="H11" s="60">
        <v>1305</v>
      </c>
      <c r="I11" s="58">
        <f>'справка №1-БАЛАНС'!H28+'справка №1-БАЛАНС'!H31</f>
        <v>148708</v>
      </c>
      <c r="J11" s="58">
        <f>'справка №1-БАЛАНС'!H29+'справка №1-БАЛАНС'!H32</f>
        <v>0</v>
      </c>
      <c r="K11" s="60"/>
      <c r="L11" s="344">
        <f>SUM(C11:K11)</f>
        <v>537885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150000</v>
      </c>
      <c r="D15" s="61">
        <f aca="true" t="shared" si="2" ref="D15:M15">D11+D12</f>
        <v>232343</v>
      </c>
      <c r="E15" s="61">
        <f t="shared" si="2"/>
        <v>0</v>
      </c>
      <c r="F15" s="61">
        <f t="shared" si="2"/>
        <v>5529</v>
      </c>
      <c r="G15" s="61">
        <f t="shared" si="2"/>
        <v>0</v>
      </c>
      <c r="H15" s="61">
        <f t="shared" si="2"/>
        <v>1305</v>
      </c>
      <c r="I15" s="61">
        <f t="shared" si="2"/>
        <v>148708</v>
      </c>
      <c r="J15" s="61">
        <f t="shared" si="2"/>
        <v>0</v>
      </c>
      <c r="K15" s="61">
        <f t="shared" si="2"/>
        <v>0</v>
      </c>
      <c r="L15" s="344">
        <f t="shared" si="1"/>
        <v>537885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16145</v>
      </c>
      <c r="J16" s="345">
        <f>+'справка №1-БАЛАНС'!G32</f>
        <v>0</v>
      </c>
      <c r="K16" s="60"/>
      <c r="L16" s="344">
        <f t="shared" si="1"/>
        <v>16145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>
        <v>0</v>
      </c>
      <c r="E28" s="60">
        <v>0</v>
      </c>
      <c r="F28" s="60">
        <v>-1</v>
      </c>
      <c r="G28" s="60"/>
      <c r="H28" s="60"/>
      <c r="I28" s="60">
        <v>0</v>
      </c>
      <c r="J28" s="60"/>
      <c r="K28" s="60"/>
      <c r="L28" s="344">
        <f t="shared" si="1"/>
        <v>-1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150000</v>
      </c>
      <c r="D29" s="59">
        <f aca="true" t="shared" si="6" ref="D29:M29">D17+D20+D21+D24+D28+D27+D15+D16</f>
        <v>232343</v>
      </c>
      <c r="E29" s="59">
        <f t="shared" si="6"/>
        <v>0</v>
      </c>
      <c r="F29" s="59">
        <f t="shared" si="6"/>
        <v>5528</v>
      </c>
      <c r="G29" s="59">
        <f t="shared" si="6"/>
        <v>0</v>
      </c>
      <c r="H29" s="59">
        <f t="shared" si="6"/>
        <v>1305</v>
      </c>
      <c r="I29" s="59">
        <f t="shared" si="6"/>
        <v>164853</v>
      </c>
      <c r="J29" s="59">
        <f t="shared" si="6"/>
        <v>0</v>
      </c>
      <c r="K29" s="59">
        <f t="shared" si="6"/>
        <v>0</v>
      </c>
      <c r="L29" s="344">
        <f t="shared" si="1"/>
        <v>554029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150000</v>
      </c>
      <c r="D32" s="59">
        <f t="shared" si="7"/>
        <v>232343</v>
      </c>
      <c r="E32" s="59">
        <f t="shared" si="7"/>
        <v>0</v>
      </c>
      <c r="F32" s="59">
        <f t="shared" si="7"/>
        <v>5528</v>
      </c>
      <c r="G32" s="59">
        <f t="shared" si="7"/>
        <v>0</v>
      </c>
      <c r="H32" s="59">
        <f t="shared" si="7"/>
        <v>1305</v>
      </c>
      <c r="I32" s="59">
        <f t="shared" si="7"/>
        <v>164853</v>
      </c>
      <c r="J32" s="59">
        <f t="shared" si="7"/>
        <v>0</v>
      </c>
      <c r="K32" s="59">
        <f t="shared" si="7"/>
        <v>0</v>
      </c>
      <c r="L32" s="344">
        <f t="shared" si="1"/>
        <v>554029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863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897</v>
      </c>
      <c r="B38" s="19"/>
      <c r="C38" s="15"/>
      <c r="D38" s="593" t="s">
        <v>523</v>
      </c>
      <c r="E38" s="593"/>
      <c r="F38" s="593"/>
      <c r="G38" s="593"/>
      <c r="H38" s="593"/>
      <c r="I38" s="593"/>
      <c r="J38" s="15" t="s">
        <v>858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F38" sqref="F3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385</v>
      </c>
      <c r="B2" s="612"/>
      <c r="C2" s="613" t="str">
        <f>'справка №1-БАЛАНС'!E3</f>
        <v>Химимпорт АД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11" t="s">
        <v>5</v>
      </c>
      <c r="B3" s="612"/>
      <c r="C3" s="614">
        <f>'справка №1-БАЛАНС'!E5</f>
        <v>39538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4" t="s">
        <v>465</v>
      </c>
      <c r="B5" s="605"/>
      <c r="C5" s="608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1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1" t="s">
        <v>531</v>
      </c>
      <c r="R5" s="601" t="s">
        <v>532</v>
      </c>
    </row>
    <row r="6" spans="1:18" s="100" customFormat="1" ht="60">
      <c r="A6" s="606"/>
      <c r="B6" s="607"/>
      <c r="C6" s="609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2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2"/>
      <c r="R6" s="602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401</v>
      </c>
      <c r="E9" s="189">
        <v>8180</v>
      </c>
      <c r="F9" s="189"/>
      <c r="G9" s="74">
        <f>D9+E9-F9</f>
        <v>8581</v>
      </c>
      <c r="H9" s="65"/>
      <c r="I9" s="65"/>
      <c r="J9" s="74">
        <f>G9+H9-I9</f>
        <v>8581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8581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654</v>
      </c>
      <c r="E10" s="189"/>
      <c r="F10" s="189"/>
      <c r="G10" s="74">
        <f aca="true" t="shared" si="2" ref="G10:G39">D10+E10-F10</f>
        <v>654</v>
      </c>
      <c r="H10" s="65"/>
      <c r="I10" s="65"/>
      <c r="J10" s="74">
        <f aca="true" t="shared" si="3" ref="J10:J39">G10+H10-I10</f>
        <v>654</v>
      </c>
      <c r="K10" s="65">
        <v>148</v>
      </c>
      <c r="L10" s="65">
        <v>6</v>
      </c>
      <c r="M10" s="65"/>
      <c r="N10" s="74">
        <f aca="true" t="shared" si="4" ref="N10:N39">K10+L10-M10</f>
        <v>154</v>
      </c>
      <c r="O10" s="65"/>
      <c r="P10" s="65"/>
      <c r="Q10" s="74">
        <f t="shared" si="0"/>
        <v>154</v>
      </c>
      <c r="R10" s="74">
        <f t="shared" si="1"/>
        <v>500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1057</v>
      </c>
      <c r="E11" s="189"/>
      <c r="F11" s="189"/>
      <c r="G11" s="74">
        <f t="shared" si="2"/>
        <v>1057</v>
      </c>
      <c r="H11" s="65"/>
      <c r="I11" s="65"/>
      <c r="J11" s="74">
        <f t="shared" si="3"/>
        <v>1057</v>
      </c>
      <c r="K11" s="65">
        <v>1021</v>
      </c>
      <c r="L11" s="65">
        <v>5</v>
      </c>
      <c r="M11" s="65"/>
      <c r="N11" s="74">
        <f t="shared" si="4"/>
        <v>1026</v>
      </c>
      <c r="O11" s="65"/>
      <c r="P11" s="65"/>
      <c r="Q11" s="74">
        <f t="shared" si="0"/>
        <v>1026</v>
      </c>
      <c r="R11" s="74">
        <f t="shared" si="1"/>
        <v>31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22042</v>
      </c>
      <c r="E13" s="189"/>
      <c r="F13" s="189"/>
      <c r="G13" s="74">
        <f t="shared" si="2"/>
        <v>22042</v>
      </c>
      <c r="H13" s="65"/>
      <c r="I13" s="65"/>
      <c r="J13" s="74">
        <f t="shared" si="3"/>
        <v>22042</v>
      </c>
      <c r="K13" s="65">
        <v>5295</v>
      </c>
      <c r="L13" s="65">
        <v>551</v>
      </c>
      <c r="M13" s="65"/>
      <c r="N13" s="74">
        <f t="shared" si="4"/>
        <v>5846</v>
      </c>
      <c r="O13" s="65"/>
      <c r="P13" s="65"/>
      <c r="Q13" s="74">
        <f t="shared" si="0"/>
        <v>5846</v>
      </c>
      <c r="R13" s="74">
        <f t="shared" si="1"/>
        <v>16196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607</v>
      </c>
      <c r="E14" s="189">
        <v>3</v>
      </c>
      <c r="F14" s="189"/>
      <c r="G14" s="74">
        <f t="shared" si="2"/>
        <v>610</v>
      </c>
      <c r="H14" s="65"/>
      <c r="I14" s="65"/>
      <c r="J14" s="74">
        <f t="shared" si="3"/>
        <v>610</v>
      </c>
      <c r="K14" s="65">
        <v>482</v>
      </c>
      <c r="L14" s="65">
        <v>6</v>
      </c>
      <c r="M14" s="65"/>
      <c r="N14" s="74">
        <f t="shared" si="4"/>
        <v>488</v>
      </c>
      <c r="O14" s="65"/>
      <c r="P14" s="65"/>
      <c r="Q14" s="74">
        <f t="shared" si="0"/>
        <v>488</v>
      </c>
      <c r="R14" s="74">
        <f t="shared" si="1"/>
        <v>122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859</v>
      </c>
      <c r="B15" s="374" t="s">
        <v>860</v>
      </c>
      <c r="C15" s="456" t="s">
        <v>861</v>
      </c>
      <c r="D15" s="457">
        <v>4023</v>
      </c>
      <c r="E15" s="457">
        <v>29</v>
      </c>
      <c r="F15" s="457"/>
      <c r="G15" s="74">
        <f t="shared" si="2"/>
        <v>4052</v>
      </c>
      <c r="H15" s="458"/>
      <c r="I15" s="458"/>
      <c r="J15" s="74">
        <f t="shared" si="3"/>
        <v>4052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4052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179</v>
      </c>
      <c r="E16" s="189"/>
      <c r="F16" s="189"/>
      <c r="G16" s="74">
        <f t="shared" si="2"/>
        <v>179</v>
      </c>
      <c r="H16" s="65"/>
      <c r="I16" s="65"/>
      <c r="J16" s="74">
        <f t="shared" si="3"/>
        <v>179</v>
      </c>
      <c r="K16" s="65">
        <v>179</v>
      </c>
      <c r="L16" s="65"/>
      <c r="M16" s="65"/>
      <c r="N16" s="74">
        <f t="shared" si="4"/>
        <v>179</v>
      </c>
      <c r="O16" s="65"/>
      <c r="P16" s="65"/>
      <c r="Q16" s="74">
        <f aca="true" t="shared" si="5" ref="Q16:Q25">N16+O16-P16</f>
        <v>179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28963</v>
      </c>
      <c r="E17" s="194">
        <f>SUM(E9:E16)</f>
        <v>8212</v>
      </c>
      <c r="F17" s="194">
        <f>SUM(F9:F16)</f>
        <v>0</v>
      </c>
      <c r="G17" s="74">
        <f t="shared" si="2"/>
        <v>37175</v>
      </c>
      <c r="H17" s="75">
        <f>SUM(H9:H16)</f>
        <v>0</v>
      </c>
      <c r="I17" s="75">
        <f>SUM(I9:I16)</f>
        <v>0</v>
      </c>
      <c r="J17" s="74">
        <f t="shared" si="3"/>
        <v>37175</v>
      </c>
      <c r="K17" s="75">
        <f>SUM(K9:K16)</f>
        <v>7125</v>
      </c>
      <c r="L17" s="75">
        <f>SUM(L9:L16)</f>
        <v>568</v>
      </c>
      <c r="M17" s="75">
        <f>SUM(M9:M16)</f>
        <v>0</v>
      </c>
      <c r="N17" s="74">
        <f t="shared" si="4"/>
        <v>7693</v>
      </c>
      <c r="O17" s="75">
        <f>SUM(O9:O16)</f>
        <v>0</v>
      </c>
      <c r="P17" s="75">
        <f>SUM(P9:P16)</f>
        <v>0</v>
      </c>
      <c r="Q17" s="74">
        <f t="shared" si="5"/>
        <v>7693</v>
      </c>
      <c r="R17" s="74">
        <f t="shared" si="6"/>
        <v>29482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1964</v>
      </c>
      <c r="E18" s="187"/>
      <c r="F18" s="187"/>
      <c r="G18" s="74">
        <f t="shared" si="2"/>
        <v>1964</v>
      </c>
      <c r="H18" s="63"/>
      <c r="I18" s="63"/>
      <c r="J18" s="74">
        <f t="shared" si="3"/>
        <v>1964</v>
      </c>
      <c r="K18" s="63">
        <v>794</v>
      </c>
      <c r="L18" s="63">
        <v>20</v>
      </c>
      <c r="M18" s="63"/>
      <c r="N18" s="74">
        <f t="shared" si="4"/>
        <v>814</v>
      </c>
      <c r="O18" s="63"/>
      <c r="P18" s="63"/>
      <c r="Q18" s="74">
        <f t="shared" si="5"/>
        <v>814</v>
      </c>
      <c r="R18" s="74">
        <f t="shared" si="6"/>
        <v>1150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1</v>
      </c>
      <c r="E21" s="189"/>
      <c r="F21" s="189"/>
      <c r="G21" s="74">
        <f t="shared" si="2"/>
        <v>1</v>
      </c>
      <c r="H21" s="65"/>
      <c r="I21" s="65"/>
      <c r="J21" s="74">
        <f t="shared" si="3"/>
        <v>1</v>
      </c>
      <c r="K21" s="65">
        <v>1</v>
      </c>
      <c r="L21" s="65"/>
      <c r="M21" s="65"/>
      <c r="N21" s="74">
        <f t="shared" si="4"/>
        <v>1</v>
      </c>
      <c r="O21" s="65"/>
      <c r="P21" s="65"/>
      <c r="Q21" s="74">
        <f t="shared" si="5"/>
        <v>1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51</v>
      </c>
      <c r="E22" s="189"/>
      <c r="F22" s="189"/>
      <c r="G22" s="74">
        <f t="shared" si="2"/>
        <v>51</v>
      </c>
      <c r="H22" s="65"/>
      <c r="I22" s="65"/>
      <c r="J22" s="74">
        <f t="shared" si="3"/>
        <v>51</v>
      </c>
      <c r="K22" s="65">
        <v>49</v>
      </c>
      <c r="L22" s="65"/>
      <c r="M22" s="65"/>
      <c r="N22" s="74">
        <f t="shared" si="4"/>
        <v>49</v>
      </c>
      <c r="O22" s="65"/>
      <c r="P22" s="65"/>
      <c r="Q22" s="74">
        <f t="shared" si="5"/>
        <v>49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978</v>
      </c>
      <c r="E24" s="189"/>
      <c r="F24" s="189"/>
      <c r="G24" s="74">
        <f t="shared" si="2"/>
        <v>978</v>
      </c>
      <c r="H24" s="65"/>
      <c r="I24" s="65"/>
      <c r="J24" s="74">
        <f t="shared" si="3"/>
        <v>978</v>
      </c>
      <c r="K24" s="65">
        <v>733</v>
      </c>
      <c r="L24" s="65">
        <v>62</v>
      </c>
      <c r="M24" s="65"/>
      <c r="N24" s="74">
        <f t="shared" si="4"/>
        <v>795</v>
      </c>
      <c r="O24" s="65"/>
      <c r="P24" s="65"/>
      <c r="Q24" s="74">
        <f t="shared" si="5"/>
        <v>795</v>
      </c>
      <c r="R24" s="74">
        <f t="shared" si="6"/>
        <v>183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584</v>
      </c>
      <c r="D25" s="190">
        <f>SUM(D21:D24)</f>
        <v>1030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1030</v>
      </c>
      <c r="H25" s="66">
        <f t="shared" si="7"/>
        <v>0</v>
      </c>
      <c r="I25" s="66">
        <f t="shared" si="7"/>
        <v>0</v>
      </c>
      <c r="J25" s="67">
        <f t="shared" si="3"/>
        <v>1030</v>
      </c>
      <c r="K25" s="66">
        <f t="shared" si="7"/>
        <v>783</v>
      </c>
      <c r="L25" s="66">
        <f t="shared" si="7"/>
        <v>62</v>
      </c>
      <c r="M25" s="66">
        <f t="shared" si="7"/>
        <v>0</v>
      </c>
      <c r="N25" s="67">
        <f t="shared" si="4"/>
        <v>845</v>
      </c>
      <c r="O25" s="66">
        <f t="shared" si="7"/>
        <v>0</v>
      </c>
      <c r="P25" s="66">
        <f t="shared" si="7"/>
        <v>0</v>
      </c>
      <c r="Q25" s="67">
        <f t="shared" si="5"/>
        <v>845</v>
      </c>
      <c r="R25" s="67">
        <f t="shared" si="6"/>
        <v>185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853</v>
      </c>
      <c r="C27" s="380" t="s">
        <v>587</v>
      </c>
      <c r="D27" s="192">
        <f>SUM(D28:D31)</f>
        <v>359154</v>
      </c>
      <c r="E27" s="192">
        <f aca="true" t="shared" si="8" ref="E27:P27">SUM(E28:E31)</f>
        <v>76064</v>
      </c>
      <c r="F27" s="192">
        <f t="shared" si="8"/>
        <v>0</v>
      </c>
      <c r="G27" s="71">
        <f t="shared" si="2"/>
        <v>435218</v>
      </c>
      <c r="H27" s="70">
        <f t="shared" si="8"/>
        <v>0</v>
      </c>
      <c r="I27" s="70">
        <f t="shared" si="8"/>
        <v>0</v>
      </c>
      <c r="J27" s="71">
        <f t="shared" si="3"/>
        <v>435218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435218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340387</v>
      </c>
      <c r="E28" s="189">
        <v>48109</v>
      </c>
      <c r="F28" s="189"/>
      <c r="G28" s="74">
        <f t="shared" si="2"/>
        <v>388496</v>
      </c>
      <c r="H28" s="65"/>
      <c r="I28" s="65"/>
      <c r="J28" s="74">
        <f t="shared" si="3"/>
        <v>388496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388496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18767</v>
      </c>
      <c r="E30" s="189">
        <v>27955</v>
      </c>
      <c r="F30" s="189"/>
      <c r="G30" s="74">
        <f t="shared" si="2"/>
        <v>46722</v>
      </c>
      <c r="H30" s="72"/>
      <c r="I30" s="72"/>
      <c r="J30" s="74">
        <f t="shared" si="3"/>
        <v>46722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46722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548</v>
      </c>
      <c r="B32" s="379" t="s">
        <v>592</v>
      </c>
      <c r="C32" s="367" t="s">
        <v>593</v>
      </c>
      <c r="D32" s="193">
        <f>SUM(D33:D36)</f>
        <v>14932</v>
      </c>
      <c r="E32" s="193">
        <f aca="true" t="shared" si="11" ref="E32:P32">SUM(E33:E36)</f>
        <v>0</v>
      </c>
      <c r="F32" s="193">
        <f t="shared" si="11"/>
        <v>14932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>
        <v>14932</v>
      </c>
      <c r="E36" s="189"/>
      <c r="F36" s="189">
        <v>14932</v>
      </c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>
        <v>4519</v>
      </c>
      <c r="E37" s="189"/>
      <c r="F37" s="189">
        <v>4411</v>
      </c>
      <c r="G37" s="74">
        <f t="shared" si="2"/>
        <v>108</v>
      </c>
      <c r="H37" s="72"/>
      <c r="I37" s="72"/>
      <c r="J37" s="74">
        <f t="shared" si="3"/>
        <v>108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108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603</v>
      </c>
      <c r="D38" s="194">
        <f>D27+D32+D37</f>
        <v>378605</v>
      </c>
      <c r="E38" s="194">
        <f aca="true" t="shared" si="12" ref="E38:P38">E27+E32+E37</f>
        <v>76064</v>
      </c>
      <c r="F38" s="194">
        <f t="shared" si="12"/>
        <v>19343</v>
      </c>
      <c r="G38" s="74">
        <f t="shared" si="2"/>
        <v>435326</v>
      </c>
      <c r="H38" s="75">
        <f t="shared" si="12"/>
        <v>0</v>
      </c>
      <c r="I38" s="75">
        <f t="shared" si="12"/>
        <v>0</v>
      </c>
      <c r="J38" s="74">
        <f t="shared" si="3"/>
        <v>435326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435326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410562</v>
      </c>
      <c r="E40" s="438">
        <f>E17+E18+E19+E25+E38+E39</f>
        <v>84276</v>
      </c>
      <c r="F40" s="438">
        <f aca="true" t="shared" si="13" ref="F40:R40">F17+F18+F19+F25+F38+F39</f>
        <v>19343</v>
      </c>
      <c r="G40" s="438">
        <f t="shared" si="13"/>
        <v>475495</v>
      </c>
      <c r="H40" s="438">
        <f t="shared" si="13"/>
        <v>0</v>
      </c>
      <c r="I40" s="438">
        <f t="shared" si="13"/>
        <v>0</v>
      </c>
      <c r="J40" s="438">
        <f t="shared" si="13"/>
        <v>475495</v>
      </c>
      <c r="K40" s="438">
        <f t="shared" si="13"/>
        <v>8702</v>
      </c>
      <c r="L40" s="438">
        <f t="shared" si="13"/>
        <v>650</v>
      </c>
      <c r="M40" s="438">
        <f t="shared" si="13"/>
        <v>0</v>
      </c>
      <c r="N40" s="438">
        <f t="shared" si="13"/>
        <v>9352</v>
      </c>
      <c r="O40" s="438">
        <f t="shared" si="13"/>
        <v>0</v>
      </c>
      <c r="P40" s="438">
        <f t="shared" si="13"/>
        <v>0</v>
      </c>
      <c r="Q40" s="438">
        <f t="shared" si="13"/>
        <v>9352</v>
      </c>
      <c r="R40" s="438">
        <f t="shared" si="13"/>
        <v>466143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0"/>
      <c r="L44" s="610"/>
      <c r="M44" s="610"/>
      <c r="N44" s="610"/>
      <c r="O44" s="599" t="s">
        <v>783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88">
      <selection activeCell="A110" sqref="A110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8" t="s">
        <v>611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21" t="str">
        <f>'справка №1-БАЛАНС'!E3</f>
        <v>Химимпорт АД</v>
      </c>
      <c r="C3" s="622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>
        <f>'справка №1-БАЛАНС'!E5</f>
        <v>39538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24">
      <c r="A6" s="389" t="s">
        <v>465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24">
      <c r="A10" s="393" t="s">
        <v>620</v>
      </c>
      <c r="B10" s="395"/>
      <c r="C10" s="104"/>
      <c r="D10" s="104"/>
      <c r="E10" s="120"/>
      <c r="F10" s="106"/>
    </row>
    <row r="11" spans="1:15" ht="24">
      <c r="A11" s="396" t="s">
        <v>621</v>
      </c>
      <c r="B11" s="397" t="s">
        <v>622</v>
      </c>
      <c r="C11" s="119">
        <f>SUM(C12:C14)</f>
        <v>77988</v>
      </c>
      <c r="D11" s="119">
        <f>SUM(D12:D14)</f>
        <v>0</v>
      </c>
      <c r="E11" s="120">
        <f>SUM(E12:E14)</f>
        <v>77988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>
        <f>'справка №1-БАЛАНС'!C47</f>
        <v>77988</v>
      </c>
      <c r="D12" s="108"/>
      <c r="E12" s="120">
        <f aca="true" t="shared" si="0" ref="E12:E42">C12-D12</f>
        <v>77988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24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16438</v>
      </c>
      <c r="D16" s="119">
        <f>+D17+D18</f>
        <v>0</v>
      </c>
      <c r="E16" s="120">
        <f t="shared" si="0"/>
        <v>16438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>
        <f>'справка №1-БАЛАНС'!C50+1118+19</f>
        <v>16438</v>
      </c>
      <c r="D18" s="108"/>
      <c r="E18" s="120">
        <f t="shared" si="0"/>
        <v>16438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94426</v>
      </c>
      <c r="D19" s="104">
        <f>D11+D15+D16</f>
        <v>0</v>
      </c>
      <c r="E19" s="118">
        <f>E11+E15+E16</f>
        <v>94426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641</v>
      </c>
      <c r="B23" s="399"/>
      <c r="C23" s="119"/>
      <c r="D23" s="104"/>
      <c r="E23" s="120"/>
      <c r="F23" s="106"/>
    </row>
    <row r="24" spans="1:15" ht="24">
      <c r="A24" s="396" t="s">
        <v>642</v>
      </c>
      <c r="B24" s="397" t="s">
        <v>643</v>
      </c>
      <c r="C24" s="119">
        <f>SUM(C25:C27)</f>
        <v>35368</v>
      </c>
      <c r="D24" s="119">
        <f>SUM(D25:D27)</f>
        <v>35368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>
        <f>'[4]Receiv_group'!$B$40-'[4]Receiv_group'!$B$39-'[4]Receiv_group'!$B$38-'[4]Receiv_group'!$B$19-'[4]Receiv_group'!$B$22</f>
        <v>26648</v>
      </c>
      <c r="D25" s="108">
        <v>26648</v>
      </c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f>'[4]Receiv_group'!$B$39</f>
        <v>1251</v>
      </c>
      <c r="D26" s="108">
        <v>1251</v>
      </c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>
        <f>'[4]Receiv_group'!$B$38</f>
        <v>7469</v>
      </c>
      <c r="D27" s="108">
        <v>7469</v>
      </c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f>'[4]balance'!$C$24</f>
        <v>3176</v>
      </c>
      <c r="D28" s="108">
        <v>3176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>
        <v>0</v>
      </c>
      <c r="D29" s="108">
        <v>0</v>
      </c>
      <c r="E29" s="120">
        <f t="shared" si="0"/>
        <v>0</v>
      </c>
      <c r="F29" s="106"/>
    </row>
    <row r="30" spans="1:6" ht="24">
      <c r="A30" s="396" t="s">
        <v>654</v>
      </c>
      <c r="B30" s="397" t="s">
        <v>655</v>
      </c>
      <c r="C30" s="108">
        <f>'[4]balance'!$C$23-1118</f>
        <v>90788</v>
      </c>
      <c r="D30" s="108">
        <v>93024</v>
      </c>
      <c r="E30" s="120">
        <f t="shared" si="0"/>
        <v>-2236</v>
      </c>
      <c r="F30" s="106"/>
    </row>
    <row r="31" spans="1:6" ht="12">
      <c r="A31" s="396" t="s">
        <v>656</v>
      </c>
      <c r="B31" s="397" t="s">
        <v>657</v>
      </c>
      <c r="C31" s="108">
        <f>'[4]Notes'!$B$139</f>
        <v>224</v>
      </c>
      <c r="D31" s="108">
        <v>224</v>
      </c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1688</v>
      </c>
      <c r="D33" s="105">
        <f>SUM(D34:D37)</f>
        <v>1688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f>'[4]Receiv_Other'!$F$23</f>
        <v>1688</v>
      </c>
      <c r="D35" s="108">
        <v>1688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15107</v>
      </c>
      <c r="D38" s="105">
        <f>SUM(D39:D42)</f>
        <v>15145</v>
      </c>
      <c r="E38" s="121">
        <f>SUM(E39:E42)</f>
        <v>-38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>
        <f>'[4]balance'!$C$25-'[4]Receiv_Other'!$F$23-19</f>
        <v>15107</v>
      </c>
      <c r="D42" s="108">
        <v>15145</v>
      </c>
      <c r="E42" s="120">
        <f t="shared" si="0"/>
        <v>-38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146351</v>
      </c>
      <c r="D43" s="104">
        <f>D24+D28+D29+D31+D30+D32+D33+D38</f>
        <v>148625</v>
      </c>
      <c r="E43" s="118">
        <f>E24+E28+E29+E31+E30+E32+E33+E38</f>
        <v>-2274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240777</v>
      </c>
      <c r="D44" s="103">
        <f>D43+D21+D19+D9</f>
        <v>148625</v>
      </c>
      <c r="E44" s="118">
        <f>E43+E21+E19+E9</f>
        <v>92152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173525</v>
      </c>
      <c r="D52" s="103">
        <f>SUM(D53:D55)</f>
        <v>0</v>
      </c>
      <c r="E52" s="119">
        <f>C52-D52</f>
        <v>173525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>
        <v>1000</v>
      </c>
      <c r="D54" s="108"/>
      <c r="E54" s="119">
        <f aca="true" t="shared" si="1" ref="E54:E95">C54-D54</f>
        <v>1000</v>
      </c>
      <c r="F54" s="108"/>
    </row>
    <row r="55" spans="1:6" ht="12">
      <c r="A55" s="396" t="s">
        <v>678</v>
      </c>
      <c r="B55" s="397" t="s">
        <v>695</v>
      </c>
      <c r="C55" s="108">
        <v>172525</v>
      </c>
      <c r="D55" s="108"/>
      <c r="E55" s="119">
        <f t="shared" si="1"/>
        <v>172525</v>
      </c>
      <c r="F55" s="108"/>
    </row>
    <row r="56" spans="1:16" ht="36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24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>
        <f>'справка №1-БАЛАНС'!G48</f>
        <v>0</v>
      </c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173525</v>
      </c>
      <c r="D66" s="103">
        <f>D52+D56+D61+D62+D63+D64</f>
        <v>0</v>
      </c>
      <c r="E66" s="119">
        <f t="shared" si="1"/>
        <v>173525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23150</v>
      </c>
      <c r="D71" s="105">
        <f>SUM(D72:D74)</f>
        <v>23150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1572</v>
      </c>
      <c r="D72" s="108">
        <v>1572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21578</v>
      </c>
      <c r="D74" s="108">
        <v>21578</v>
      </c>
      <c r="E74" s="119">
        <f t="shared" si="1"/>
        <v>0</v>
      </c>
      <c r="F74" s="110"/>
    </row>
    <row r="75" spans="1:16" ht="36">
      <c r="A75" s="396" t="s">
        <v>696</v>
      </c>
      <c r="B75" s="397" t="s">
        <v>726</v>
      </c>
      <c r="C75" s="103">
        <f>C76+C78</f>
        <v>12182</v>
      </c>
      <c r="D75" s="103">
        <f>D76+D78</f>
        <v>16241</v>
      </c>
      <c r="E75" s="103">
        <f>E76+E78</f>
        <v>-4059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>
        <f>'[4]Notes'!$B$227</f>
        <v>12182</v>
      </c>
      <c r="D76" s="108">
        <v>16241</v>
      </c>
      <c r="E76" s="119">
        <f t="shared" si="1"/>
        <v>-4059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1721</v>
      </c>
      <c r="D80" s="103">
        <f>SUM(D81:D84)</f>
        <v>1721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>
        <f>'[2]Notes'!$B$237+'[2]Notes'!$B$236</f>
        <v>1625</v>
      </c>
      <c r="D83" s="108">
        <v>1625</v>
      </c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>
        <f>'[2]Payables_Other'!$B$16</f>
        <v>96</v>
      </c>
      <c r="D84" s="108">
        <v>96</v>
      </c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7020</v>
      </c>
      <c r="D85" s="104">
        <f>SUM(D86:D90)+D94</f>
        <v>7121</v>
      </c>
      <c r="E85" s="104">
        <f>SUM(E86:E90)+E94</f>
        <v>-101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f>'[4]търговски'!$B$25</f>
        <v>5991</v>
      </c>
      <c r="D87" s="108">
        <v>5991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41</v>
      </c>
      <c r="D89" s="108">
        <v>41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947</v>
      </c>
      <c r="D90" s="103">
        <f>SUM(D91:D93)</f>
        <v>1067</v>
      </c>
      <c r="E90" s="103">
        <f>SUM(E91:E93)</f>
        <v>-120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>
        <f>'[4]Notes'!$B$250</f>
        <v>0</v>
      </c>
      <c r="D91" s="108">
        <v>947</v>
      </c>
      <c r="E91" s="119">
        <f t="shared" si="1"/>
        <v>-947</v>
      </c>
      <c r="F91" s="108"/>
    </row>
    <row r="92" spans="1:6" ht="12">
      <c r="A92" s="396" t="s">
        <v>664</v>
      </c>
      <c r="B92" s="397" t="s">
        <v>758</v>
      </c>
      <c r="C92" s="108"/>
      <c r="D92" s="108"/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>
        <f>'[4]Notes'!$B$251</f>
        <v>947</v>
      </c>
      <c r="D93" s="108">
        <v>120</v>
      </c>
      <c r="E93" s="119">
        <f t="shared" si="1"/>
        <v>827</v>
      </c>
      <c r="F93" s="108"/>
    </row>
    <row r="94" spans="1:6" ht="24">
      <c r="A94" s="396" t="s">
        <v>760</v>
      </c>
      <c r="B94" s="397" t="s">
        <v>761</v>
      </c>
      <c r="C94" s="108">
        <f>'[4]Notes'!$B$235</f>
        <v>41</v>
      </c>
      <c r="D94" s="108">
        <v>22</v>
      </c>
      <c r="E94" s="119">
        <f t="shared" si="1"/>
        <v>19</v>
      </c>
      <c r="F94" s="108"/>
    </row>
    <row r="95" spans="1:6" ht="12">
      <c r="A95" s="396" t="s">
        <v>762</v>
      </c>
      <c r="B95" s="397" t="s">
        <v>763</v>
      </c>
      <c r="C95" s="108">
        <f>'[4]balance'!$C$61</f>
        <v>6349</v>
      </c>
      <c r="D95" s="108">
        <v>6349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50422</v>
      </c>
      <c r="D96" s="104">
        <f>D85+D80+D75+D71+D95</f>
        <v>54582</v>
      </c>
      <c r="E96" s="104">
        <f>E85+E80+E75+E71+E95</f>
        <v>-4160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223947</v>
      </c>
      <c r="D97" s="104">
        <f>D96+D68+D66</f>
        <v>54582</v>
      </c>
      <c r="E97" s="104">
        <f>E96+E68+E66</f>
        <v>169365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782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886</v>
      </c>
      <c r="B109" s="616"/>
      <c r="C109" s="616" t="s">
        <v>383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783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784</v>
      </c>
      <c r="F2" s="418"/>
      <c r="G2" s="418"/>
      <c r="H2" s="416"/>
      <c r="I2" s="416"/>
    </row>
    <row r="3" spans="1:9" ht="12">
      <c r="A3" s="416"/>
      <c r="B3" s="417"/>
      <c r="C3" s="419" t="s">
        <v>785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3" t="str">
        <f>'справка №1-БАЛАНС'!E3</f>
        <v>Химимпорт АД</v>
      </c>
      <c r="C4" s="623"/>
      <c r="D4" s="623"/>
      <c r="E4" s="623"/>
      <c r="F4" s="623"/>
      <c r="G4" s="629" t="s">
        <v>2</v>
      </c>
      <c r="H4" s="629"/>
      <c r="I4" s="500" t="str">
        <f>'справка №1-БАЛАНС'!H3</f>
        <v> </v>
      </c>
    </row>
    <row r="5" spans="1:9" ht="15">
      <c r="A5" s="501" t="s">
        <v>5</v>
      </c>
      <c r="B5" s="624">
        <f>'справка №1-БАЛАНС'!E5</f>
        <v>39538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786</v>
      </c>
    </row>
    <row r="7" spans="1:9" s="520" customFormat="1" ht="12">
      <c r="A7" s="140" t="s">
        <v>465</v>
      </c>
      <c r="B7" s="79"/>
      <c r="C7" s="140" t="s">
        <v>787</v>
      </c>
      <c r="D7" s="141"/>
      <c r="E7" s="142"/>
      <c r="F7" s="143" t="s">
        <v>788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789</v>
      </c>
      <c r="D8" s="82" t="s">
        <v>790</v>
      </c>
      <c r="E8" s="82" t="s">
        <v>791</v>
      </c>
      <c r="F8" s="142" t="s">
        <v>792</v>
      </c>
      <c r="G8" s="144" t="s">
        <v>793</v>
      </c>
      <c r="H8" s="144"/>
      <c r="I8" s="144" t="s">
        <v>794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795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796</v>
      </c>
      <c r="B12" s="90" t="s">
        <v>797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798</v>
      </c>
      <c r="B13" s="90" t="s">
        <v>799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800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801</v>
      </c>
      <c r="B15" s="90" t="s">
        <v>802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803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804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805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796</v>
      </c>
      <c r="B19" s="90" t="s">
        <v>806</v>
      </c>
      <c r="C19" s="98">
        <f>23370</f>
        <v>23370</v>
      </c>
      <c r="D19" s="98"/>
      <c r="E19" s="98"/>
      <c r="F19" s="98">
        <v>2745</v>
      </c>
      <c r="G19" s="98"/>
      <c r="H19" s="98"/>
      <c r="I19" s="434">
        <f t="shared" si="0"/>
        <v>2745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807</v>
      </c>
      <c r="B20" s="90" t="s">
        <v>808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809</v>
      </c>
      <c r="B21" s="90" t="s">
        <v>810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811</v>
      </c>
      <c r="B22" s="90" t="s">
        <v>812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813</v>
      </c>
      <c r="B23" s="90" t="s">
        <v>814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815</v>
      </c>
      <c r="B24" s="90" t="s">
        <v>816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817</v>
      </c>
      <c r="B25" s="95" t="s">
        <v>818</v>
      </c>
      <c r="C25" s="98">
        <f>439107+446612+4011337+473671</f>
        <v>5370727</v>
      </c>
      <c r="D25" s="98"/>
      <c r="E25" s="98"/>
      <c r="F25" s="98">
        <v>61289</v>
      </c>
      <c r="G25" s="98"/>
      <c r="H25" s="98"/>
      <c r="I25" s="434">
        <f t="shared" si="0"/>
        <v>61289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819</v>
      </c>
      <c r="C26" s="85">
        <f aca="true" t="shared" si="2" ref="C26:H26">SUM(C19:C25)</f>
        <v>5394097</v>
      </c>
      <c r="D26" s="85">
        <f t="shared" si="2"/>
        <v>0</v>
      </c>
      <c r="E26" s="85">
        <f t="shared" si="2"/>
        <v>0</v>
      </c>
      <c r="F26" s="85">
        <f t="shared" si="2"/>
        <v>64034</v>
      </c>
      <c r="G26" s="85">
        <f t="shared" si="2"/>
        <v>0</v>
      </c>
      <c r="H26" s="85">
        <f t="shared" si="2"/>
        <v>0</v>
      </c>
      <c r="I26" s="434">
        <f t="shared" si="0"/>
        <v>64034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820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886</v>
      </c>
      <c r="B30" s="626"/>
      <c r="C30" s="626"/>
      <c r="D30" s="459" t="s">
        <v>821</v>
      </c>
      <c r="E30" s="625"/>
      <c r="F30" s="625"/>
      <c r="G30" s="625"/>
      <c r="H30" s="420" t="s">
        <v>783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6"/>
  <sheetViews>
    <sheetView workbookViewId="0" topLeftCell="A115">
      <selection activeCell="A154" sqref="A15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822</v>
      </c>
      <c r="B2" s="145"/>
      <c r="C2" s="145"/>
      <c r="D2" s="145"/>
      <c r="E2" s="145"/>
      <c r="F2" s="145"/>
    </row>
    <row r="3" spans="1:6" ht="12.75" customHeight="1">
      <c r="A3" s="145" t="s">
        <v>823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30" t="str">
        <f>'справка №1-БАЛАНС'!E3</f>
        <v>Химимпорт АД</v>
      </c>
      <c r="C5" s="630"/>
      <c r="D5" s="630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824</v>
      </c>
      <c r="B6" s="631">
        <f>'справка №1-БАЛАНС'!E5</f>
        <v>39538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825</v>
      </c>
      <c r="B8" s="32" t="s">
        <v>8</v>
      </c>
      <c r="C8" s="33" t="s">
        <v>826</v>
      </c>
      <c r="D8" s="33" t="s">
        <v>827</v>
      </c>
      <c r="E8" s="33" t="s">
        <v>828</v>
      </c>
      <c r="F8" s="33" t="s">
        <v>829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830</v>
      </c>
      <c r="B10" s="35"/>
      <c r="C10" s="429"/>
      <c r="D10" s="429"/>
      <c r="E10" s="429"/>
      <c r="F10" s="429"/>
    </row>
    <row r="11" spans="1:6" ht="18" customHeight="1">
      <c r="A11" s="36" t="s">
        <v>831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441">
        <v>160270</v>
      </c>
      <c r="D12" s="441">
        <v>100</v>
      </c>
      <c r="E12" s="441"/>
      <c r="F12" s="443">
        <f>C12-E12</f>
        <v>160270</v>
      </c>
    </row>
    <row r="13" spans="1:6" ht="12.75">
      <c r="A13" s="36" t="s">
        <v>865</v>
      </c>
      <c r="B13" s="37"/>
      <c r="C13" s="441">
        <v>12744</v>
      </c>
      <c r="D13" s="441">
        <v>52.7</v>
      </c>
      <c r="E13" s="441"/>
      <c r="F13" s="443">
        <f aca="true" t="shared" si="0" ref="F13:F28">C13-E13</f>
        <v>12744</v>
      </c>
    </row>
    <row r="14" spans="1:6" ht="12.75">
      <c r="A14" s="36" t="s">
        <v>881</v>
      </c>
      <c r="B14" s="37"/>
      <c r="C14" s="441">
        <v>23568</v>
      </c>
      <c r="D14" s="441">
        <v>100</v>
      </c>
      <c r="E14" s="441"/>
      <c r="F14" s="443">
        <f t="shared" si="0"/>
        <v>23568</v>
      </c>
    </row>
    <row r="15" spans="1:6" ht="12.75">
      <c r="A15" s="36" t="s">
        <v>882</v>
      </c>
      <c r="B15" s="37"/>
      <c r="C15" s="441">
        <v>96058</v>
      </c>
      <c r="D15" s="441">
        <v>57.78</v>
      </c>
      <c r="E15" s="441"/>
      <c r="F15" s="443">
        <f t="shared" si="0"/>
        <v>96058</v>
      </c>
    </row>
    <row r="16" spans="1:6" ht="12.75">
      <c r="A16" s="36" t="s">
        <v>875</v>
      </c>
      <c r="B16" s="37"/>
      <c r="C16" s="441">
        <v>1011</v>
      </c>
      <c r="D16" s="441">
        <v>93.33</v>
      </c>
      <c r="E16" s="441"/>
      <c r="F16" s="443">
        <f t="shared" si="0"/>
        <v>1011</v>
      </c>
    </row>
    <row r="17" spans="1:6" ht="12.75">
      <c r="A17" s="36" t="s">
        <v>866</v>
      </c>
      <c r="B17" s="37"/>
      <c r="C17" s="441">
        <v>111</v>
      </c>
      <c r="D17" s="441">
        <v>59</v>
      </c>
      <c r="E17" s="441"/>
      <c r="F17" s="443">
        <f t="shared" si="0"/>
        <v>111</v>
      </c>
    </row>
    <row r="18" spans="1:6" ht="12.75">
      <c r="A18" s="36" t="s">
        <v>876</v>
      </c>
      <c r="B18" s="37"/>
      <c r="C18" s="441">
        <v>4</v>
      </c>
      <c r="D18" s="441">
        <v>70</v>
      </c>
      <c r="E18" s="441"/>
      <c r="F18" s="443">
        <f t="shared" si="0"/>
        <v>4</v>
      </c>
    </row>
    <row r="19" spans="1:6" ht="12.75">
      <c r="A19" s="36" t="s">
        <v>877</v>
      </c>
      <c r="B19" s="37"/>
      <c r="C19" s="441">
        <v>5</v>
      </c>
      <c r="D19" s="441">
        <v>100</v>
      </c>
      <c r="E19" s="441"/>
      <c r="F19" s="443">
        <f t="shared" si="0"/>
        <v>5</v>
      </c>
    </row>
    <row r="20" spans="1:6" ht="12.75">
      <c r="A20" s="36" t="s">
        <v>867</v>
      </c>
      <c r="B20" s="37"/>
      <c r="C20" s="441">
        <v>998</v>
      </c>
      <c r="D20" s="441">
        <v>100</v>
      </c>
      <c r="E20" s="441"/>
      <c r="F20" s="443">
        <f t="shared" si="0"/>
        <v>998</v>
      </c>
    </row>
    <row r="21" spans="1:6" ht="12.75">
      <c r="A21" s="36" t="s">
        <v>868</v>
      </c>
      <c r="B21" s="37"/>
      <c r="C21" s="441">
        <v>22474</v>
      </c>
      <c r="D21" s="441">
        <v>65</v>
      </c>
      <c r="E21" s="441"/>
      <c r="F21" s="443">
        <f t="shared" si="0"/>
        <v>22474</v>
      </c>
    </row>
    <row r="22" spans="1:6" ht="12.75">
      <c r="A22" s="36" t="s">
        <v>878</v>
      </c>
      <c r="B22" s="37"/>
      <c r="C22" s="441">
        <v>2000</v>
      </c>
      <c r="D22" s="441">
        <v>100</v>
      </c>
      <c r="E22" s="441"/>
      <c r="F22" s="443">
        <f t="shared" si="0"/>
        <v>2000</v>
      </c>
    </row>
    <row r="23" spans="1:6" ht="12.75">
      <c r="A23" s="36" t="s">
        <v>879</v>
      </c>
      <c r="B23" s="37"/>
      <c r="C23" s="441">
        <v>14880</v>
      </c>
      <c r="D23" s="441">
        <v>99</v>
      </c>
      <c r="E23" s="441"/>
      <c r="F23" s="443">
        <f t="shared" si="0"/>
        <v>14880</v>
      </c>
    </row>
    <row r="24" spans="1:6" ht="12.75">
      <c r="A24" s="36" t="s">
        <v>869</v>
      </c>
      <c r="B24" s="37"/>
      <c r="C24" s="441">
        <v>1664</v>
      </c>
      <c r="D24" s="441">
        <v>83.2</v>
      </c>
      <c r="E24" s="441"/>
      <c r="F24" s="443">
        <f t="shared" si="0"/>
        <v>1664</v>
      </c>
    </row>
    <row r="25" spans="1:6" ht="12" customHeight="1">
      <c r="A25" s="36" t="s">
        <v>874</v>
      </c>
      <c r="B25" s="37"/>
      <c r="C25" s="441">
        <v>2095</v>
      </c>
      <c r="D25" s="441">
        <v>100</v>
      </c>
      <c r="E25" s="441"/>
      <c r="F25" s="443">
        <f t="shared" si="0"/>
        <v>2095</v>
      </c>
    </row>
    <row r="26" spans="1:6" ht="12.75">
      <c r="A26" s="36" t="s">
        <v>883</v>
      </c>
      <c r="B26" s="37"/>
      <c r="C26" s="441">
        <v>5</v>
      </c>
      <c r="D26" s="441">
        <v>100</v>
      </c>
      <c r="E26" s="441"/>
      <c r="F26" s="443">
        <f t="shared" si="0"/>
        <v>5</v>
      </c>
    </row>
    <row r="27" spans="1:6" ht="12.75">
      <c r="A27" s="36" t="s">
        <v>887</v>
      </c>
      <c r="B27" s="37"/>
      <c r="C27" s="441">
        <f>'[4]Notes'!$D$9</f>
        <v>27632</v>
      </c>
      <c r="D27" s="441">
        <v>100</v>
      </c>
      <c r="E27" s="441"/>
      <c r="F27" s="443"/>
    </row>
    <row r="28" spans="1:6" ht="12.75">
      <c r="A28" s="36" t="s">
        <v>888</v>
      </c>
      <c r="B28" s="37"/>
      <c r="C28" s="441">
        <f>'[4]Notes'!$D$45</f>
        <v>20477</v>
      </c>
      <c r="D28" s="441">
        <v>2.88</v>
      </c>
      <c r="E28" s="441"/>
      <c r="F28" s="443">
        <f t="shared" si="0"/>
        <v>20477</v>
      </c>
    </row>
    <row r="29" spans="1:16" ht="11.25" customHeight="1">
      <c r="A29" s="38" t="s">
        <v>566</v>
      </c>
      <c r="B29" s="39" t="s">
        <v>833</v>
      </c>
      <c r="C29" s="429">
        <f>SUM(C12:C28)</f>
        <v>385996</v>
      </c>
      <c r="D29" s="429"/>
      <c r="E29" s="429">
        <f>SUM(E12:E26)</f>
        <v>0</v>
      </c>
      <c r="F29" s="442">
        <f>SUM(F12:F28)</f>
        <v>358364</v>
      </c>
      <c r="G29" s="516"/>
      <c r="H29" s="516"/>
      <c r="I29" s="516"/>
      <c r="J29" s="516"/>
      <c r="K29" s="516"/>
      <c r="L29" s="516"/>
      <c r="M29" s="516"/>
      <c r="N29" s="516"/>
      <c r="O29" s="516"/>
      <c r="P29" s="516"/>
    </row>
    <row r="30" spans="1:6" ht="16.5" customHeight="1">
      <c r="A30" s="36" t="s">
        <v>834</v>
      </c>
      <c r="B30" s="40"/>
      <c r="C30" s="429"/>
      <c r="D30" s="429"/>
      <c r="E30" s="429"/>
      <c r="F30" s="442"/>
    </row>
    <row r="31" spans="1:6" ht="12.75">
      <c r="A31" s="36" t="s">
        <v>545</v>
      </c>
      <c r="B31" s="40"/>
      <c r="C31" s="441"/>
      <c r="D31" s="441"/>
      <c r="E31" s="441"/>
      <c r="F31" s="443">
        <f>C31-E31</f>
        <v>0</v>
      </c>
    </row>
    <row r="32" spans="1:6" ht="12.75">
      <c r="A32" s="36" t="s">
        <v>548</v>
      </c>
      <c r="B32" s="40"/>
      <c r="C32" s="441"/>
      <c r="D32" s="441"/>
      <c r="E32" s="441"/>
      <c r="F32" s="443">
        <f aca="true" t="shared" si="1" ref="F32:F45">C32-E32</f>
        <v>0</v>
      </c>
    </row>
    <row r="33" spans="1:6" ht="12.75">
      <c r="A33" s="36" t="s">
        <v>551</v>
      </c>
      <c r="B33" s="40"/>
      <c r="C33" s="441"/>
      <c r="D33" s="441"/>
      <c r="E33" s="441"/>
      <c r="F33" s="443">
        <f t="shared" si="1"/>
        <v>0</v>
      </c>
    </row>
    <row r="34" spans="1:6" ht="12.75">
      <c r="A34" s="36" t="s">
        <v>554</v>
      </c>
      <c r="B34" s="40"/>
      <c r="C34" s="441"/>
      <c r="D34" s="441"/>
      <c r="E34" s="441"/>
      <c r="F34" s="443">
        <f t="shared" si="1"/>
        <v>0</v>
      </c>
    </row>
    <row r="35" spans="1:6" ht="12.75">
      <c r="A35" s="36">
        <v>5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6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7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8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9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10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11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12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13</v>
      </c>
      <c r="B43" s="37"/>
      <c r="C43" s="441"/>
      <c r="D43" s="441"/>
      <c r="E43" s="441"/>
      <c r="F43" s="443">
        <f t="shared" si="1"/>
        <v>0</v>
      </c>
    </row>
    <row r="44" spans="1:6" ht="12" customHeight="1">
      <c r="A44" s="36">
        <v>14</v>
      </c>
      <c r="B44" s="37"/>
      <c r="C44" s="441"/>
      <c r="D44" s="441"/>
      <c r="E44" s="441"/>
      <c r="F44" s="443">
        <f t="shared" si="1"/>
        <v>0</v>
      </c>
    </row>
    <row r="45" spans="1:6" ht="12.75">
      <c r="A45" s="36">
        <v>15</v>
      </c>
      <c r="B45" s="37"/>
      <c r="C45" s="441"/>
      <c r="D45" s="441"/>
      <c r="E45" s="441"/>
      <c r="F45" s="443">
        <f t="shared" si="1"/>
        <v>0</v>
      </c>
    </row>
    <row r="46" spans="1:16" ht="15" customHeight="1">
      <c r="A46" s="38" t="s">
        <v>583</v>
      </c>
      <c r="B46" s="39" t="s">
        <v>835</v>
      </c>
      <c r="C46" s="429">
        <f>SUM(C31:C45)</f>
        <v>0</v>
      </c>
      <c r="D46" s="429"/>
      <c r="E46" s="429">
        <f>SUM(E31:E45)</f>
        <v>0</v>
      </c>
      <c r="F46" s="442">
        <f>SUM(F31:F45)</f>
        <v>0</v>
      </c>
      <c r="G46" s="516"/>
      <c r="H46" s="516"/>
      <c r="I46" s="516"/>
      <c r="J46" s="516"/>
      <c r="K46" s="516"/>
      <c r="L46" s="516"/>
      <c r="M46" s="516"/>
      <c r="N46" s="516"/>
      <c r="O46" s="516"/>
      <c r="P46" s="516"/>
    </row>
    <row r="47" spans="1:6" ht="12.75" customHeight="1">
      <c r="A47" s="36" t="s">
        <v>836</v>
      </c>
      <c r="B47" s="40"/>
      <c r="C47" s="429"/>
      <c r="D47" s="429"/>
      <c r="E47" s="429"/>
      <c r="F47" s="442"/>
    </row>
    <row r="48" spans="1:6" ht="12.75">
      <c r="A48" s="575" t="s">
        <v>889</v>
      </c>
      <c r="B48" s="40"/>
      <c r="C48" s="441">
        <v>15028</v>
      </c>
      <c r="D48" s="441">
        <v>49.28</v>
      </c>
      <c r="E48" s="441"/>
      <c r="F48" s="443">
        <f>C48-E48</f>
        <v>15028</v>
      </c>
    </row>
    <row r="49" spans="1:6" ht="12.75">
      <c r="A49" s="575" t="s">
        <v>890</v>
      </c>
      <c r="B49" s="40"/>
      <c r="C49" s="441">
        <v>20227</v>
      </c>
      <c r="D49" s="441">
        <v>21.27</v>
      </c>
      <c r="E49" s="441"/>
      <c r="F49" s="443">
        <f aca="true" t="shared" si="2" ref="F49:F62">C49-E49</f>
        <v>20227</v>
      </c>
    </row>
    <row r="50" spans="1:6" ht="12.75">
      <c r="A50" s="577" t="s">
        <v>891</v>
      </c>
      <c r="B50" s="40"/>
      <c r="C50" s="441">
        <v>9695</v>
      </c>
      <c r="D50" s="441">
        <v>28.2</v>
      </c>
      <c r="E50" s="441"/>
      <c r="F50" s="443">
        <f t="shared" si="2"/>
        <v>9695</v>
      </c>
    </row>
    <row r="51" spans="1:6" ht="12.75">
      <c r="A51" s="575" t="s">
        <v>892</v>
      </c>
      <c r="B51" s="37"/>
      <c r="C51" s="441">
        <v>5</v>
      </c>
      <c r="D51" s="441">
        <v>20</v>
      </c>
      <c r="E51" s="441"/>
      <c r="F51" s="443">
        <f t="shared" si="2"/>
        <v>5</v>
      </c>
    </row>
    <row r="52" spans="1:6" ht="12.75">
      <c r="A52" s="575" t="s">
        <v>893</v>
      </c>
      <c r="B52" s="37"/>
      <c r="C52" s="441">
        <v>526</v>
      </c>
      <c r="D52" s="441">
        <v>23.08</v>
      </c>
      <c r="E52" s="441"/>
      <c r="F52" s="443">
        <f t="shared" si="2"/>
        <v>526</v>
      </c>
    </row>
    <row r="53" spans="1:6" ht="12.75">
      <c r="A53" s="575" t="s">
        <v>894</v>
      </c>
      <c r="B53" s="37"/>
      <c r="C53" s="441">
        <v>526</v>
      </c>
      <c r="D53" s="441">
        <v>23.08</v>
      </c>
      <c r="E53" s="441"/>
      <c r="F53" s="443">
        <f t="shared" si="2"/>
        <v>526</v>
      </c>
    </row>
    <row r="54" spans="1:6" ht="12.75">
      <c r="A54" s="575" t="s">
        <v>895</v>
      </c>
      <c r="B54" s="37"/>
      <c r="C54" s="441">
        <v>715</v>
      </c>
      <c r="D54" s="441">
        <v>38.07</v>
      </c>
      <c r="E54" s="441"/>
      <c r="F54" s="443">
        <f t="shared" si="2"/>
        <v>715</v>
      </c>
    </row>
    <row r="55" spans="1:6" ht="12.75">
      <c r="A55" s="36">
        <v>8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9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10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11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12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13</v>
      </c>
      <c r="B60" s="37"/>
      <c r="C60" s="441"/>
      <c r="D60" s="441"/>
      <c r="E60" s="441"/>
      <c r="F60" s="443">
        <f t="shared" si="2"/>
        <v>0</v>
      </c>
    </row>
    <row r="61" spans="1:6" ht="12" customHeight="1">
      <c r="A61" s="36">
        <v>14</v>
      </c>
      <c r="B61" s="37"/>
      <c r="C61" s="441"/>
      <c r="D61" s="441"/>
      <c r="E61" s="441"/>
      <c r="F61" s="443">
        <f t="shared" si="2"/>
        <v>0</v>
      </c>
    </row>
    <row r="62" spans="1:6" ht="12.75">
      <c r="A62" s="36">
        <v>15</v>
      </c>
      <c r="B62" s="37"/>
      <c r="C62" s="441"/>
      <c r="D62" s="441"/>
      <c r="E62" s="441"/>
      <c r="F62" s="443">
        <f t="shared" si="2"/>
        <v>0</v>
      </c>
    </row>
    <row r="63" spans="1:16" ht="12" customHeight="1">
      <c r="A63" s="38" t="s">
        <v>602</v>
      </c>
      <c r="B63" s="39" t="s">
        <v>837</v>
      </c>
      <c r="C63" s="429">
        <f>SUM(C48:C62)</f>
        <v>46722</v>
      </c>
      <c r="D63" s="429"/>
      <c r="E63" s="429">
        <f>SUM(E48:E62)</f>
        <v>0</v>
      </c>
      <c r="F63" s="442">
        <f>SUM(F48:F62)</f>
        <v>46722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6" ht="18.75" customHeight="1">
      <c r="A64" s="36" t="s">
        <v>838</v>
      </c>
      <c r="B64" s="40"/>
      <c r="C64" s="429"/>
      <c r="D64" s="429"/>
      <c r="E64" s="429"/>
      <c r="F64" s="442"/>
    </row>
    <row r="65" spans="1:6" ht="12.75">
      <c r="A65" s="36" t="s">
        <v>545</v>
      </c>
      <c r="B65" s="40"/>
      <c r="C65" s="441"/>
      <c r="D65" s="441"/>
      <c r="E65" s="441"/>
      <c r="F65" s="443">
        <f>C65-E65</f>
        <v>0</v>
      </c>
    </row>
    <row r="66" spans="1:6" ht="12.75">
      <c r="A66" s="36" t="s">
        <v>548</v>
      </c>
      <c r="B66" s="40"/>
      <c r="C66" s="441"/>
      <c r="D66" s="441"/>
      <c r="E66" s="441"/>
      <c r="F66" s="443">
        <f aca="true" t="shared" si="3" ref="F66:F79">C66-E66</f>
        <v>0</v>
      </c>
    </row>
    <row r="67" spans="1:6" ht="12.75">
      <c r="A67" s="36" t="s">
        <v>551</v>
      </c>
      <c r="B67" s="40"/>
      <c r="C67" s="441"/>
      <c r="D67" s="441"/>
      <c r="E67" s="441"/>
      <c r="F67" s="443">
        <f t="shared" si="3"/>
        <v>0</v>
      </c>
    </row>
    <row r="68" spans="1:6" ht="12.75">
      <c r="A68" s="36" t="s">
        <v>554</v>
      </c>
      <c r="B68" s="40"/>
      <c r="C68" s="441"/>
      <c r="D68" s="441"/>
      <c r="E68" s="441"/>
      <c r="F68" s="443">
        <f t="shared" si="3"/>
        <v>0</v>
      </c>
    </row>
    <row r="69" spans="1:6" ht="12.75">
      <c r="A69" s="36">
        <v>5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6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7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8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9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10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11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12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13</v>
      </c>
      <c r="B77" s="37"/>
      <c r="C77" s="441"/>
      <c r="D77" s="441"/>
      <c r="E77" s="441"/>
      <c r="F77" s="443">
        <f t="shared" si="3"/>
        <v>0</v>
      </c>
    </row>
    <row r="78" spans="1:6" ht="12" customHeight="1">
      <c r="A78" s="36">
        <v>14</v>
      </c>
      <c r="B78" s="37"/>
      <c r="C78" s="441"/>
      <c r="D78" s="441"/>
      <c r="E78" s="441"/>
      <c r="F78" s="443">
        <f t="shared" si="3"/>
        <v>0</v>
      </c>
    </row>
    <row r="79" spans="1:6" ht="12.75">
      <c r="A79" s="36">
        <v>15</v>
      </c>
      <c r="B79" s="37"/>
      <c r="C79" s="441"/>
      <c r="D79" s="441"/>
      <c r="E79" s="441"/>
      <c r="F79" s="443">
        <f t="shared" si="3"/>
        <v>0</v>
      </c>
    </row>
    <row r="80" spans="1:16" ht="14.25" customHeight="1">
      <c r="A80" s="38" t="s">
        <v>839</v>
      </c>
      <c r="B80" s="39" t="s">
        <v>840</v>
      </c>
      <c r="C80" s="429">
        <f>SUM(C65:C79)</f>
        <v>0</v>
      </c>
      <c r="D80" s="429"/>
      <c r="E80" s="429">
        <f>SUM(E65:E79)</f>
        <v>0</v>
      </c>
      <c r="F80" s="442">
        <f>SUM(F65:F79)</f>
        <v>0</v>
      </c>
      <c r="G80" s="516"/>
      <c r="H80" s="516"/>
      <c r="I80" s="516"/>
      <c r="J80" s="516"/>
      <c r="K80" s="516"/>
      <c r="L80" s="516"/>
      <c r="M80" s="516"/>
      <c r="N80" s="516"/>
      <c r="O80" s="516"/>
      <c r="P80" s="516"/>
    </row>
    <row r="81" spans="1:16" ht="20.25" customHeight="1">
      <c r="A81" s="41" t="s">
        <v>841</v>
      </c>
      <c r="B81" s="39" t="s">
        <v>842</v>
      </c>
      <c r="C81" s="429">
        <f>C80+C63+C46+C29</f>
        <v>432718</v>
      </c>
      <c r="D81" s="429"/>
      <c r="E81" s="429">
        <f>E80+E63+E46+E29</f>
        <v>0</v>
      </c>
      <c r="F81" s="442">
        <f>F80+F63+F46+F29</f>
        <v>405086</v>
      </c>
      <c r="G81" s="516"/>
      <c r="H81" s="516"/>
      <c r="I81" s="516"/>
      <c r="J81" s="516"/>
      <c r="K81" s="516"/>
      <c r="L81" s="516"/>
      <c r="M81" s="516"/>
      <c r="N81" s="516"/>
      <c r="O81" s="516"/>
      <c r="P81" s="516"/>
    </row>
    <row r="82" spans="1:6" ht="15" customHeight="1">
      <c r="A82" s="34" t="s">
        <v>843</v>
      </c>
      <c r="B82" s="39"/>
      <c r="C82" s="429"/>
      <c r="D82" s="429"/>
      <c r="E82" s="429"/>
      <c r="F82" s="442"/>
    </row>
    <row r="83" spans="1:6" ht="14.25" customHeight="1">
      <c r="A83" s="36" t="s">
        <v>831</v>
      </c>
      <c r="B83" s="40"/>
      <c r="C83" s="429"/>
      <c r="D83" s="429"/>
      <c r="E83" s="429"/>
      <c r="F83" s="442"/>
    </row>
    <row r="84" spans="1:6" ht="12.75">
      <c r="A84" s="36" t="s">
        <v>880</v>
      </c>
      <c r="B84" s="40"/>
      <c r="C84" s="441">
        <v>2500</v>
      </c>
      <c r="D84" s="441">
        <v>100</v>
      </c>
      <c r="E84" s="441"/>
      <c r="F84" s="443">
        <f>C84-E84</f>
        <v>2500</v>
      </c>
    </row>
    <row r="85" spans="1:6" ht="12.75">
      <c r="A85" s="36" t="s">
        <v>832</v>
      </c>
      <c r="B85" s="40"/>
      <c r="C85" s="441"/>
      <c r="D85" s="441"/>
      <c r="E85" s="441"/>
      <c r="F85" s="443">
        <f aca="true" t="shared" si="4" ref="F85:F98">C85-E85</f>
        <v>0</v>
      </c>
    </row>
    <row r="86" spans="1:6" ht="12.75">
      <c r="A86" s="36" t="s">
        <v>551</v>
      </c>
      <c r="B86" s="40"/>
      <c r="C86" s="441"/>
      <c r="D86" s="441"/>
      <c r="E86" s="441"/>
      <c r="F86" s="443">
        <f t="shared" si="4"/>
        <v>0</v>
      </c>
    </row>
    <row r="87" spans="1:6" ht="12.75">
      <c r="A87" s="36" t="s">
        <v>554</v>
      </c>
      <c r="B87" s="40"/>
      <c r="C87" s="441"/>
      <c r="D87" s="441"/>
      <c r="E87" s="441"/>
      <c r="F87" s="443">
        <f t="shared" si="4"/>
        <v>0</v>
      </c>
    </row>
    <row r="88" spans="1:6" ht="12.75">
      <c r="A88" s="36">
        <v>5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6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7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8</v>
      </c>
      <c r="B91" s="37"/>
      <c r="C91" s="441"/>
      <c r="D91" s="441"/>
      <c r="E91" s="441"/>
      <c r="F91" s="443">
        <f t="shared" si="4"/>
        <v>0</v>
      </c>
    </row>
    <row r="92" spans="1:6" ht="12" customHeight="1">
      <c r="A92" s="36">
        <v>9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10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11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12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13</v>
      </c>
      <c r="B96" s="37"/>
      <c r="C96" s="441"/>
      <c r="D96" s="441"/>
      <c r="E96" s="441"/>
      <c r="F96" s="443">
        <f t="shared" si="4"/>
        <v>0</v>
      </c>
    </row>
    <row r="97" spans="1:6" ht="12" customHeight="1">
      <c r="A97" s="36">
        <v>14</v>
      </c>
      <c r="B97" s="37"/>
      <c r="C97" s="441"/>
      <c r="D97" s="441"/>
      <c r="E97" s="441"/>
      <c r="F97" s="443">
        <f t="shared" si="4"/>
        <v>0</v>
      </c>
    </row>
    <row r="98" spans="1:6" ht="12.75">
      <c r="A98" s="36">
        <v>15</v>
      </c>
      <c r="B98" s="37"/>
      <c r="C98" s="441"/>
      <c r="D98" s="441"/>
      <c r="E98" s="441"/>
      <c r="F98" s="443">
        <f t="shared" si="4"/>
        <v>0</v>
      </c>
    </row>
    <row r="99" spans="1:16" ht="15" customHeight="1">
      <c r="A99" s="38" t="s">
        <v>566</v>
      </c>
      <c r="B99" s="39" t="s">
        <v>844</v>
      </c>
      <c r="C99" s="429">
        <f>SUM(C84:C98)</f>
        <v>2500</v>
      </c>
      <c r="D99" s="429"/>
      <c r="E99" s="429">
        <f>SUM(E84:E98)</f>
        <v>0</v>
      </c>
      <c r="F99" s="442">
        <f>SUM(F84:F98)</f>
        <v>2500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.75" customHeight="1">
      <c r="A100" s="36" t="s">
        <v>834</v>
      </c>
      <c r="B100" s="40"/>
      <c r="C100" s="429"/>
      <c r="D100" s="429"/>
      <c r="E100" s="429"/>
      <c r="F100" s="442"/>
    </row>
    <row r="101" spans="1:6" ht="12.75">
      <c r="A101" s="36" t="s">
        <v>545</v>
      </c>
      <c r="B101" s="40"/>
      <c r="C101" s="441"/>
      <c r="D101" s="441"/>
      <c r="E101" s="441"/>
      <c r="F101" s="443">
        <f>C101-E101</f>
        <v>0</v>
      </c>
    </row>
    <row r="102" spans="1:6" ht="12.75">
      <c r="A102" s="36" t="s">
        <v>548</v>
      </c>
      <c r="B102" s="40"/>
      <c r="C102" s="441"/>
      <c r="D102" s="441"/>
      <c r="E102" s="441"/>
      <c r="F102" s="443">
        <f aca="true" t="shared" si="5" ref="F102:F115">C102-E102</f>
        <v>0</v>
      </c>
    </row>
    <row r="103" spans="1:6" ht="12.75">
      <c r="A103" s="36" t="s">
        <v>551</v>
      </c>
      <c r="B103" s="40"/>
      <c r="C103" s="441"/>
      <c r="D103" s="441"/>
      <c r="E103" s="441"/>
      <c r="F103" s="443">
        <f t="shared" si="5"/>
        <v>0</v>
      </c>
    </row>
    <row r="104" spans="1:6" ht="12.75">
      <c r="A104" s="36" t="s">
        <v>554</v>
      </c>
      <c r="B104" s="40"/>
      <c r="C104" s="441"/>
      <c r="D104" s="441"/>
      <c r="E104" s="441"/>
      <c r="F104" s="443">
        <f t="shared" si="5"/>
        <v>0</v>
      </c>
    </row>
    <row r="105" spans="1:6" ht="12.75">
      <c r="A105" s="36">
        <v>5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6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7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8</v>
      </c>
      <c r="B108" s="37"/>
      <c r="C108" s="441"/>
      <c r="D108" s="441"/>
      <c r="E108" s="441"/>
      <c r="F108" s="443">
        <f t="shared" si="5"/>
        <v>0</v>
      </c>
    </row>
    <row r="109" spans="1:6" ht="12" customHeight="1">
      <c r="A109" s="36">
        <v>9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10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11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12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13</v>
      </c>
      <c r="B113" s="37"/>
      <c r="C113" s="441"/>
      <c r="D113" s="441"/>
      <c r="E113" s="441"/>
      <c r="F113" s="443">
        <f t="shared" si="5"/>
        <v>0</v>
      </c>
    </row>
    <row r="114" spans="1:6" ht="12" customHeight="1">
      <c r="A114" s="36">
        <v>14</v>
      </c>
      <c r="B114" s="37"/>
      <c r="C114" s="441"/>
      <c r="D114" s="441"/>
      <c r="E114" s="441"/>
      <c r="F114" s="443">
        <f t="shared" si="5"/>
        <v>0</v>
      </c>
    </row>
    <row r="115" spans="1:6" ht="12.75">
      <c r="A115" s="36">
        <v>15</v>
      </c>
      <c r="B115" s="37"/>
      <c r="C115" s="441"/>
      <c r="D115" s="441"/>
      <c r="E115" s="441"/>
      <c r="F115" s="443">
        <f t="shared" si="5"/>
        <v>0</v>
      </c>
    </row>
    <row r="116" spans="1:16" ht="11.25" customHeight="1">
      <c r="A116" s="38" t="s">
        <v>583</v>
      </c>
      <c r="B116" s="39" t="s">
        <v>845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5" customHeight="1">
      <c r="A117" s="36" t="s">
        <v>836</v>
      </c>
      <c r="B117" s="40"/>
      <c r="C117" s="429"/>
      <c r="D117" s="429"/>
      <c r="E117" s="429"/>
      <c r="F117" s="442"/>
    </row>
    <row r="118" spans="1:6" ht="12.75">
      <c r="A118" s="36" t="s">
        <v>870</v>
      </c>
      <c r="B118" s="40"/>
      <c r="C118" s="441">
        <v>5</v>
      </c>
      <c r="D118" s="441">
        <v>20</v>
      </c>
      <c r="E118" s="441"/>
      <c r="F118" s="443">
        <f>C118-E118</f>
        <v>5</v>
      </c>
    </row>
    <row r="119" spans="1:6" ht="12.75">
      <c r="A119" s="36" t="s">
        <v>548</v>
      </c>
      <c r="B119" s="40"/>
      <c r="C119" s="441"/>
      <c r="D119" s="441"/>
      <c r="E119" s="441"/>
      <c r="F119" s="443">
        <f aca="true" t="shared" si="6" ref="F119:F132">C119-E119</f>
        <v>0</v>
      </c>
    </row>
    <row r="120" spans="1:6" ht="12.75">
      <c r="A120" s="36" t="s">
        <v>551</v>
      </c>
      <c r="B120" s="40"/>
      <c r="C120" s="441"/>
      <c r="D120" s="441"/>
      <c r="E120" s="441"/>
      <c r="F120" s="443">
        <f t="shared" si="6"/>
        <v>0</v>
      </c>
    </row>
    <row r="121" spans="1:6" ht="12.75">
      <c r="A121" s="36" t="s">
        <v>554</v>
      </c>
      <c r="B121" s="40"/>
      <c r="C121" s="441"/>
      <c r="D121" s="441"/>
      <c r="E121" s="441"/>
      <c r="F121" s="443">
        <f t="shared" si="6"/>
        <v>0</v>
      </c>
    </row>
    <row r="122" spans="1:6" ht="12.75">
      <c r="A122" s="36">
        <v>5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6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7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8</v>
      </c>
      <c r="B125" s="37"/>
      <c r="C125" s="441"/>
      <c r="D125" s="441"/>
      <c r="E125" s="441"/>
      <c r="F125" s="443">
        <f t="shared" si="6"/>
        <v>0</v>
      </c>
    </row>
    <row r="126" spans="1:6" ht="12" customHeight="1">
      <c r="A126" s="36">
        <v>9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10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11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12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13</v>
      </c>
      <c r="B130" s="37"/>
      <c r="C130" s="441"/>
      <c r="D130" s="441"/>
      <c r="E130" s="441"/>
      <c r="F130" s="443">
        <f t="shared" si="6"/>
        <v>0</v>
      </c>
    </row>
    <row r="131" spans="1:6" ht="12" customHeight="1">
      <c r="A131" s="36">
        <v>14</v>
      </c>
      <c r="B131" s="37"/>
      <c r="C131" s="441"/>
      <c r="D131" s="441"/>
      <c r="E131" s="441"/>
      <c r="F131" s="443">
        <f t="shared" si="6"/>
        <v>0</v>
      </c>
    </row>
    <row r="132" spans="1:6" ht="12.75">
      <c r="A132" s="36">
        <v>15</v>
      </c>
      <c r="B132" s="37"/>
      <c r="C132" s="441"/>
      <c r="D132" s="441"/>
      <c r="E132" s="441"/>
      <c r="F132" s="443">
        <f t="shared" si="6"/>
        <v>0</v>
      </c>
    </row>
    <row r="133" spans="1:16" ht="15.75" customHeight="1">
      <c r="A133" s="38" t="s">
        <v>602</v>
      </c>
      <c r="B133" s="39" t="s">
        <v>846</v>
      </c>
      <c r="C133" s="429">
        <f>SUM(C118:C132)</f>
        <v>5</v>
      </c>
      <c r="D133" s="429"/>
      <c r="E133" s="429">
        <f>SUM(E118:E132)</f>
        <v>0</v>
      </c>
      <c r="F133" s="442">
        <f>SUM(F118:F132)</f>
        <v>5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6" ht="12.75" customHeight="1">
      <c r="A134" s="36" t="s">
        <v>838</v>
      </c>
      <c r="B134" s="40"/>
      <c r="C134" s="429"/>
      <c r="D134" s="429"/>
      <c r="E134" s="429"/>
      <c r="F134" s="442"/>
    </row>
    <row r="135" spans="1:6" ht="12.75">
      <c r="A135" s="36" t="s">
        <v>545</v>
      </c>
      <c r="B135" s="40"/>
      <c r="C135" s="441"/>
      <c r="D135" s="441"/>
      <c r="E135" s="441"/>
      <c r="F135" s="443">
        <f>C135-E135</f>
        <v>0</v>
      </c>
    </row>
    <row r="136" spans="1:6" ht="12.75">
      <c r="A136" s="36" t="s">
        <v>548</v>
      </c>
      <c r="B136" s="40"/>
      <c r="C136" s="441"/>
      <c r="D136" s="441"/>
      <c r="E136" s="441"/>
      <c r="F136" s="443">
        <f aca="true" t="shared" si="7" ref="F136:F149">C136-E136</f>
        <v>0</v>
      </c>
    </row>
    <row r="137" spans="1:6" ht="12.75">
      <c r="A137" s="36" t="s">
        <v>551</v>
      </c>
      <c r="B137" s="40"/>
      <c r="C137" s="441"/>
      <c r="D137" s="441"/>
      <c r="E137" s="441"/>
      <c r="F137" s="443">
        <f t="shared" si="7"/>
        <v>0</v>
      </c>
    </row>
    <row r="138" spans="1:6" ht="12.75">
      <c r="A138" s="36" t="s">
        <v>554</v>
      </c>
      <c r="B138" s="40"/>
      <c r="C138" s="441"/>
      <c r="D138" s="441"/>
      <c r="E138" s="441"/>
      <c r="F138" s="443">
        <f t="shared" si="7"/>
        <v>0</v>
      </c>
    </row>
    <row r="139" spans="1:6" ht="12.75">
      <c r="A139" s="36">
        <v>5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6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7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8</v>
      </c>
      <c r="B142" s="37"/>
      <c r="C142" s="441"/>
      <c r="D142" s="441"/>
      <c r="E142" s="441"/>
      <c r="F142" s="443">
        <f t="shared" si="7"/>
        <v>0</v>
      </c>
    </row>
    <row r="143" spans="1:6" ht="12" customHeight="1">
      <c r="A143" s="36">
        <v>9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10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11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12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13</v>
      </c>
      <c r="B147" s="37"/>
      <c r="C147" s="441"/>
      <c r="D147" s="441"/>
      <c r="E147" s="441"/>
      <c r="F147" s="443">
        <f t="shared" si="7"/>
        <v>0</v>
      </c>
    </row>
    <row r="148" spans="1:6" ht="12" customHeight="1">
      <c r="A148" s="36">
        <v>14</v>
      </c>
      <c r="B148" s="37"/>
      <c r="C148" s="441"/>
      <c r="D148" s="441"/>
      <c r="E148" s="441"/>
      <c r="F148" s="443">
        <f t="shared" si="7"/>
        <v>0</v>
      </c>
    </row>
    <row r="149" spans="1:6" ht="12.75">
      <c r="A149" s="36">
        <v>15</v>
      </c>
      <c r="B149" s="37"/>
      <c r="C149" s="441"/>
      <c r="D149" s="441"/>
      <c r="E149" s="441"/>
      <c r="F149" s="443">
        <f t="shared" si="7"/>
        <v>0</v>
      </c>
    </row>
    <row r="150" spans="1:16" ht="17.25" customHeight="1">
      <c r="A150" s="38" t="s">
        <v>839</v>
      </c>
      <c r="B150" s="39" t="s">
        <v>847</v>
      </c>
      <c r="C150" s="429">
        <f>SUM(C135:C149)</f>
        <v>0</v>
      </c>
      <c r="D150" s="429"/>
      <c r="E150" s="429">
        <f>SUM(E135:E149)</f>
        <v>0</v>
      </c>
      <c r="F150" s="442">
        <f>SUM(F135:F149)</f>
        <v>0</v>
      </c>
      <c r="G150" s="516"/>
      <c r="H150" s="516"/>
      <c r="I150" s="516"/>
      <c r="J150" s="516"/>
      <c r="K150" s="516"/>
      <c r="L150" s="516"/>
      <c r="M150" s="516"/>
      <c r="N150" s="516"/>
      <c r="O150" s="516"/>
      <c r="P150" s="516"/>
    </row>
    <row r="151" spans="1:16" ht="19.5" customHeight="1">
      <c r="A151" s="41" t="s">
        <v>848</v>
      </c>
      <c r="B151" s="39" t="s">
        <v>849</v>
      </c>
      <c r="C151" s="429">
        <f>C150+C133+C116+C99</f>
        <v>2505</v>
      </c>
      <c r="D151" s="429"/>
      <c r="E151" s="429">
        <f>E150+E133+E116+E99</f>
        <v>0</v>
      </c>
      <c r="F151" s="442">
        <f>F150+F133+F116+F99</f>
        <v>2505</v>
      </c>
      <c r="G151" s="516"/>
      <c r="H151" s="516"/>
      <c r="I151" s="516"/>
      <c r="J151" s="516"/>
      <c r="K151" s="516"/>
      <c r="L151" s="516"/>
      <c r="M151" s="516"/>
      <c r="N151" s="516"/>
      <c r="O151" s="516"/>
      <c r="P151" s="516"/>
    </row>
    <row r="152" spans="1:6" ht="19.5" customHeight="1">
      <c r="A152" s="42"/>
      <c r="B152" s="43"/>
      <c r="C152" s="44"/>
      <c r="D152" s="44"/>
      <c r="E152" s="44"/>
      <c r="F152" s="44"/>
    </row>
    <row r="153" spans="1:6" ht="12.75">
      <c r="A153" s="452" t="s">
        <v>896</v>
      </c>
      <c r="B153" s="453"/>
      <c r="C153" s="632" t="s">
        <v>850</v>
      </c>
      <c r="D153" s="632"/>
      <c r="E153" s="632"/>
      <c r="F153" s="632"/>
    </row>
    <row r="154" spans="1:6" ht="12.75">
      <c r="A154" s="517"/>
      <c r="B154" s="518"/>
      <c r="C154" s="517"/>
      <c r="D154" s="517"/>
      <c r="E154" s="517"/>
      <c r="F154" s="517"/>
    </row>
    <row r="155" spans="1:6" ht="12.75">
      <c r="A155" s="517"/>
      <c r="B155" s="518"/>
      <c r="C155" s="632" t="s">
        <v>857</v>
      </c>
      <c r="D155" s="632"/>
      <c r="E155" s="632"/>
      <c r="F155" s="632"/>
    </row>
    <row r="156" spans="3:5" ht="12.75">
      <c r="C156" s="517"/>
      <c r="E156" s="517"/>
    </row>
  </sheetData>
  <sheetProtection/>
  <mergeCells count="4">
    <mergeCell ref="B5:D5"/>
    <mergeCell ref="B6:C6"/>
    <mergeCell ref="C155:F155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5:F149 C31:F45 C12:F28 C65:F79 C118:F132 C101:F115 C84:F98 C48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3"/>
  <headerFooter alignWithMargins="0">
    <oddHeader>&amp;R&amp;"Times New Roman Cyr,Regular"&amp;9СПРАВКА ПО ОБРАЗЕЦ №  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Alexander Kerezov</cp:lastModifiedBy>
  <cp:lastPrinted>2008-04-29T10:00:03Z</cp:lastPrinted>
  <dcterms:created xsi:type="dcterms:W3CDTF">2000-06-29T12:02:40Z</dcterms:created>
  <dcterms:modified xsi:type="dcterms:W3CDTF">2008-04-29T10:11:26Z</dcterms:modified>
  <cp:category/>
  <cp:version/>
  <cp:contentType/>
  <cp:contentStatus/>
</cp:coreProperties>
</file>