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<sst xmlns="http://schemas.openxmlformats.org/spreadsheetml/2006/main" count="1065" uniqueCount="879">
  <si>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</si>
  <si>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</si>
  <si>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</si>
  <si>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</si>
  <si>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</si>
  <si>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</si>
  <si>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</si>
  <si>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</si>
  <si>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</si>
  <si>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</si>
  <si>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</si>
  <si>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</si>
  <si>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</si>
  <si>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</si>
  <si>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</si>
  <si>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</si>
  <si>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</si>
  <si>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</si>
  <si>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</si>
  <si>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</si>
  <si>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</si>
  <si>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</si>
  <si>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</si>
  <si>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</si>
  <si>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</si>
  <si>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</si>
  <si>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</si>
  <si>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</si>
  <si>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</si>
  <si>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</si>
  <si>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</si>
  <si>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</si>
  <si>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</si>
  <si>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</si>
  <si>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</si>
  <si>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</si>
  <si>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</si>
  <si>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</si>
  <si>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</si>
  <si>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</si>
  <si>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</si>
  <si>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</si>
  <si>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</si>
  <si>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</si>
  <si>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</si>
  <si>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</si>
  <si>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</si>
  <si>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</si>
  <si>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</si>
  <si>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</si>
  <si>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</si>
  <si>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</si>
  <si>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</si>
  <si>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</si>
  <si>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</si>
  <si>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</si>
  <si>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</si>
  <si>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</si>
  <si>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</si>
  <si>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</si>
  <si>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</si>
  <si>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</si>
  <si>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</si>
  <si>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</si>
  <si>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</si>
  <si>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</si>
  <si>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</si>
  <si>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</si>
  <si>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</si>
  <si>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</si>
  <si>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</si>
  <si>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</si>
  <si>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</si>
  <si>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</si>
  <si>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</si>
  <si>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</si>
  <si>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</si>
  <si>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</si>
  <si>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</si>
  <si>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</si>
  <si>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</si>
  <si>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</si>
  <si>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</si>
  <si>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</si>
  <si>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</si>
  <si>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</si>
  <si>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</si>
  <si>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</si>
  <si>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</si>
  <si>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</si>
  <si>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</si>
  <si>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</si>
  <si>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</si>
  <si>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</si>
  <si>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</si>
  <si>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</si>
  <si>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</si>
  <si>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</si>
  <si>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</si>
  <si>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</si>
  <si>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</si>
  <si>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</si>
  <si>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</si>
  <si>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</si>
  <si>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</si>
  <si>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</si>
  <si>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</si>
  <si>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</si>
  <si>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</si>
  <si>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</si>
  <si>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</si>
  <si>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</si>
  <si>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</si>
  <si>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</si>
  <si>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</si>
  <si>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</si>
  <si>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</si>
  <si>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</si>
  <si>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</si>
  <si>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</si>
  <si>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</si>
  <si>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</si>
  <si>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</si>
  <si>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</si>
  <si>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</si>
  <si>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</si>
  <si>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</si>
  <si>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</si>
  <si>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</si>
  <si>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</si>
  <si>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</si>
  <si>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</si>
  <si>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</si>
  <si>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</si>
  <si>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</si>
  <si>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</si>
  <si>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</si>
  <si>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</si>
  <si>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</si>
  <si>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</si>
  <si>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</si>
  <si>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</si>
  <si>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</si>
  <si>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</si>
  <si>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</si>
  <si>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</si>
  <si>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</si>
  <si>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</si>
  <si>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</si>
  <si>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</si>
  <si>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</si>
  <si>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</si>
  <si>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</si>
  <si>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</si>
  <si>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</si>
  <si>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</si>
  <si>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</si>
  <si>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</si>
  <si>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</si>
  <si>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</si>
  <si>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</si>
  <si>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</si>
  <si>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</si>
  <si>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</si>
  <si>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</si>
  <si>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</si>
  <si>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</si>
  <si>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</si>
  <si>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</si>
  <si>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</si>
  <si>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</si>
  <si>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</si>
  <si>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</si>
  <si>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</si>
  <si>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</si>
  <si>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</si>
  <si>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</si>
  <si>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</si>
  <si>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</si>
  <si>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</si>
  <si>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</si>
  <si>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</si>
  <si>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</si>
  <si>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</si>
  <si>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</si>
  <si>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</si>
  <si>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</si>
  <si>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</si>
  <si>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</si>
  <si>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</si>
  <si>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</si>
  <si>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</si>
  <si>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</si>
  <si>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</si>
  <si>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</si>
  <si>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</si>
  <si>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</si>
  <si>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</si>
  <si>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</si>
  <si>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</si>
  <si>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</si>
  <si>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</si>
  <si>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</si>
  <si>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</si>
  <si>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</si>
  <si>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</si>
  <si>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</si>
  <si>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</si>
  <si>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</si>
  <si>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</si>
  <si>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</si>
  <si>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</si>
  <si>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</si>
  <si>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</si>
  <si>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</si>
  <si>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</si>
  <si>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</si>
  <si>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</si>
  <si>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</si>
  <si>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</si>
  <si>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</si>
  <si>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</si>
  <si>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</si>
  <si>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</si>
  <si>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</si>
  <si>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</si>
  <si>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</si>
  <si>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</si>
  <si>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</si>
  <si>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</si>
  <si>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</si>
  <si>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</si>
  <si>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</si>
  <si>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</si>
  <si>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</si>
  <si>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</si>
  <si>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</si>
  <si>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</si>
  <si>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</si>
  <si>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</si>
  <si>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</si>
  <si>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</si>
  <si>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</si>
  <si>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</si>
  <si>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</si>
  <si>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</si>
  <si>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</si>
  <si>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</si>
  <si>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</si>
  <si>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</si>
  <si>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</si>
  <si>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</si>
  <si>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</si>
  <si>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</si>
  <si>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</si>
  <si>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</si>
  <si>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</si>
  <si>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</si>
  <si>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</si>
  <si>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</si>
  <si>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</si>
  <si>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</si>
  <si>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</si>
  <si>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</si>
  <si>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</si>
  <si>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</si>
  <si>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</si>
  <si>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</si>
  <si>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</si>
  <si>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</si>
  <si>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</si>
  <si>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</si>
  <si>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</si>
  <si>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</si>
  <si>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</si>
  <si>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</si>
  <si>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</si>
  <si>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</si>
  <si>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</si>
  <si>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</si>
  <si>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</si>
  <si>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</si>
  <si>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</si>
  <si>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</si>
  <si>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</si>
  <si>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</si>
  <si>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</si>
  <si>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</si>
  <si>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</si>
  <si>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</si>
  <si>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</si>
  <si>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</si>
  <si>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</si>
  <si>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</si>
  <si>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</si>
  <si>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</si>
  <si>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</si>
  <si>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</si>
  <si>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</si>
  <si>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</si>
  <si>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</si>
  <si>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</si>
  <si>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</si>
  <si>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</si>
  <si>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</si>
  <si>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</si>
  <si>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</si>
  <si>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</si>
  <si>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</si>
  <si>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</si>
  <si>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</si>
  <si>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</si>
  <si>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</si>
  <si>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</si>
  <si>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</si>
  <si>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</si>
  <si>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</si>
  <si>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</si>
  <si>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</si>
  <si>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</si>
  <si>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</si>
  <si>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</si>
  <si>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</si>
  <si>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</si>
  <si>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</si>
  <si>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</si>
  <si>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</si>
  <si>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</si>
  <si>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</si>
  <si>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</si>
  <si>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</si>
  <si>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</si>
  <si>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</si>
  <si>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</si>
  <si>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</si>
  <si>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</si>
  <si>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</si>
  <si>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</si>
  <si>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</si>
  <si>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</si>
  <si>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</si>
  <si>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</si>
  <si>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</si>
  <si>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</si>
  <si>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</si>
  <si>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</si>
  <si>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</si>
  <si>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</si>
  <si>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</si>
  <si>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</si>
  <si>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</si>
  <si>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</si>
  <si>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</si>
  <si>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</si>
  <si>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</si>
  <si>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</si>
  <si>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</si>
  <si>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</si>
  <si>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</si>
  <si>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</si>
  <si>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</si>
  <si>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</si>
  <si>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</si>
  <si>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</si>
  <si>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</si>
  <si>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</si>
  <si>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</si>
  <si>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</si>
  <si>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</si>
  <si>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</si>
  <si>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</si>
  <si>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</si>
  <si>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</si>
  <si>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</si>
  <si>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</si>
  <si>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</si>
  <si>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</si>
  <si>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</si>
  <si>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</si>
  <si>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</si>
  <si>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</si>
  <si>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</si>
  <si>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</si>
  <si>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</si>
  <si>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</si>
  <si>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</si>
  <si>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</si>
  <si>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</si>
  <si>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</si>
  <si>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</si>
  <si>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</si>
  <si>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</si>
  <si>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</si>
  <si>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</si>
  <si>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</si>
  <si>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</si>
  <si>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</si>
  <si>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</si>
  <si>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</si>
  <si>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</si>
  <si>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</si>
  <si>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</si>
  <si>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</si>
  <si>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</si>
  <si>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</si>
  <si>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</si>
  <si>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</si>
  <si>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</si>
  <si>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</si>
  <si>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</si>
  <si>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</si>
  <si>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</si>
  <si>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</si>
  <si>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</si>
  <si>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</si>
  <si>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</si>
  <si>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</si>
  <si>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</si>
  <si>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</si>
  <si>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</si>
  <si>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</si>
  <si>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</si>
  <si>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</si>
  <si>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</si>
  <si>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</si>
  <si>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</si>
  <si>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</si>
  <si>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</si>
  <si>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</si>
  <si>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</si>
  <si>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</si>
  <si>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</si>
  <si>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</si>
  <si>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</si>
  <si>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</si>
  <si>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</si>
  <si>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</si>
  <si>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</si>
  <si>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</si>
  <si>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</si>
  <si>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</si>
  <si>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</si>
  <si>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</si>
  <si>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</si>
  <si>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</si>
  <si>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</si>
  <si>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</si>
  <si>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</si>
  <si>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</si>
  <si>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</si>
  <si>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</si>
  <si>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</si>
  <si>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</si>
  <si>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</si>
  <si>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</si>
  <si>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</si>
  <si>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</si>
  <si>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</si>
  <si>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</si>
  <si>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</si>
  <si>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</si>
  <si>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</si>
  <si>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</si>
  <si>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</si>
  <si>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</si>
  <si>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</si>
  <si>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</si>
  <si>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</si>
  <si>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</si>
  <si>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</si>
  <si>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</si>
  <si>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</si>
  <si>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</si>
  <si>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</si>
  <si>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</si>
  <si>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</si>
  <si>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</si>
  <si>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</si>
  <si>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</si>
  <si>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</si>
  <si>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</si>
  <si>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</si>
  <si>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</si>
  <si>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</si>
  <si>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</si>
  <si>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</si>
  <si>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</si>
  <si>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</si>
  <si>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</si>
  <si>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</si>
  <si>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</si>
  <si>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</si>
  <si>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</si>
  <si>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</si>
  <si>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</si>
  <si>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</si>
  <si>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</si>
  <si>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</si>
  <si>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</si>
  <si>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</si>
  <si>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</si>
  <si>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</si>
  <si>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</si>
  <si>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</si>
  <si>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</si>
  <si>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</si>
  <si>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</si>
  <si>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</si>
  <si>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</si>
  <si>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</si>
  <si>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</si>
  <si>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</si>
  <si>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</si>
  <si>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</si>
  <si>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</si>
  <si>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</si>
  <si>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</si>
  <si>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</si>
  <si>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</si>
  <si>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</si>
  <si>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</si>
  <si>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</si>
  <si>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</si>
  <si>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</si>
  <si>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</si>
  <si>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</si>
  <si>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</si>
  <si>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</si>
  <si>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</si>
  <si>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</si>
  <si>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</si>
  <si>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</si>
  <si>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</si>
  <si>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</si>
  <si>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</si>
  <si>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</si>
  <si>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</si>
  <si>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</si>
  <si>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</si>
  <si>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</si>
  <si>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</si>
  <si>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</si>
  <si>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</si>
  <si>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</si>
  <si>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</si>
  <si>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</si>
  <si>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</si>
  <si>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</si>
  <si>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</si>
  <si>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</si>
  <si>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</si>
  <si>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</si>
  <si>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</si>
  <si>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</si>
  <si>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</si>
  <si>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</si>
  <si>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</si>
  <si>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</si>
  <si>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</si>
  <si>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</si>
  <si>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</si>
  <si>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</si>
  <si>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</si>
  <si>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</si>
  <si>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</si>
  <si>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</si>
  <si>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</si>
  <si>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</si>
  <si>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</si>
  <si>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</si>
  <si>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</si>
  <si>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</si>
  <si>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</si>
  <si>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</si>
  <si>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</si>
  <si>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</si>
  <si>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</si>
  <si>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</si>
  <si>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</si>
  <si>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</si>
  <si>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</si>
  <si>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</si>
  <si>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</si>
  <si>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</si>
  <si>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</si>
  <si>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</si>
  <si>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</si>
  <si>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</si>
  <si>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</si>
  <si>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</si>
  <si>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</si>
  <si>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</si>
  <si>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</si>
  <si>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</si>
  <si>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</si>
  <si>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</si>
  <si>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</si>
  <si>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</si>
  <si>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</si>
  <si>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</si>
  <si>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</si>
  <si>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</si>
  <si>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</si>
  <si>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</si>
  <si>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</si>
  <si>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</si>
  <si>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</si>
  <si>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</si>
  <si>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</si>
  <si>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</si>
  <si>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</si>
  <si>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</si>
  <si>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</si>
  <si>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</si>
  <si>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</si>
  <si>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</si>
  <si>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</si>
  <si>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</si>
  <si>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</si>
  <si>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</si>
  <si>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</si>
  <si>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</si>
  <si>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</si>
  <si>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</si>
  <si>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</si>
  <si>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</si>
  <si>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</si>
  <si>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</si>
  <si>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</si>
  <si>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</si>
  <si>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</si>
  <si>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</si>
  <si>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</si>
  <si>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</si>
  <si>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</si>
  <si>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</si>
  <si>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</si>
  <si>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</si>
  <si>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</si>
  <si>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</si>
  <si>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</si>
  <si>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</si>
  <si>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</si>
  <si>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</si>
  <si>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</si>
  <si>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</si>
  <si>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</si>
  <si>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</si>
  <si>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</si>
  <si>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</si>
  <si>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</si>
  <si>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</si>
  <si>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</si>
  <si>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</si>
  <si>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</si>
  <si>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</si>
  <si>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</si>
  <si>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</si>
  <si>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</si>
  <si>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</si>
  <si>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</si>
  <si>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</si>
  <si>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</si>
  <si>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</si>
  <si>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</si>
  <si>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</si>
  <si>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</si>
  <si>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</si>
  <si>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</si>
  <si>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</si>
  <si>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</si>
  <si>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</si>
  <si>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</si>
  <si>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</si>
  <si>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</si>
  <si>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</si>
  <si>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</si>
  <si>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</si>
  <si>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</si>
  <si>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</si>
  <si>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</si>
  <si>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</si>
  <si>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</si>
  <si>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</si>
  <si>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</si>
  <si>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</si>
  <si>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</si>
  <si>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</si>
  <si>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</si>
  <si>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</si>
  <si>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</si>
  <si>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</si>
  <si>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</si>
  <si>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</si>
  <si>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</si>
  <si>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</si>
  <si>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</si>
  <si>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</si>
  <si>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</si>
  <si>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</si>
  <si>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</si>
  <si>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</si>
  <si>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</si>
  <si>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</si>
  <si>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</si>
  <si>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</si>
  <si>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</si>
  <si>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</si>
  <si>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</si>
  <si>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</si>
  <si>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</si>
  <si>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</si>
  <si>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</si>
  <si>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</si>
  <si>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</si>
  <si>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</si>
  <si>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</si>
  <si>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</si>
  <si>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</si>
  <si>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</si>
  <si>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</si>
  <si>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</si>
  <si>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</si>
  <si>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</si>
  <si>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</si>
  <si>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</si>
  <si>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</si>
  <si>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</si>
  <si>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</si>
  <si>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</si>
  <si>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</si>
  <si>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</si>
  <si>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</si>
  <si>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</si>
  <si>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</si>
  <si>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</si>
  <si>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</si>
  <si>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</si>
  <si>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</si>
  <si>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</si>
  <si>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</si>
  <si>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</si>
  <si>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</si>
  <si>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</si>
  <si>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</si>
  <si>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</si>
  <si>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</si>
  <si>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</si>
  <si>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</si>
  <si>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</si>
  <si>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</si>
  <si>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</si>
  <si>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</si>
  <si>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</si>
  <si>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</si>
  <si>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</si>
  <si>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</si>
  <si>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</si>
  <si>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</si>
  <si>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</si>
  <si>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</si>
  <si>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</si>
  <si>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</si>
  <si>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</si>
  <si>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</si>
  <si>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</si>
  <si>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</si>
  <si>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</si>
  <si>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</si>
  <si>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</si>
  <si>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</si>
  <si>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</si>
  <si>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</si>
  <si>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</si>
  <si>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</si>
  <si>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</si>
  <si>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</si>
  <si>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</si>
  <si>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</si>
  <si>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</si>
  <si>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</si>
  <si>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</si>
  <si>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</si>
  <si>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</si>
  <si>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</si>
  <si>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</si>
  <si>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</si>
  <si>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</si>
  <si>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</si>
  <si>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</si>
  <si>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</si>
  <si>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</si>
  <si>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</si>
  <si>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</si>
  <si>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</si>
  <si>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</si>
  <si>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</si>
  <si>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</si>
  <si>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</si>
  <si>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</si>
  <si>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</si>
  <si>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</si>
  <si>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</si>
  <si>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</si>
  <si>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</si>
  <si>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</si>
  <si>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</si>
  <si>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</si>
  <si>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</si>
  <si>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</si>
  <si>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</si>
  <si>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</si>
  <si>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</si>
  <si>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</si>
  <si>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</si>
  <si>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</si>
  <si>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</si>
  <si>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</si>
  <si>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</si>
  <si>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</si>
  <si>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</si>
  <si>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</si>
  <si>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</si>
  <si>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</si>
  <si>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</si>
  <si>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</si>
  <si>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</si>
  <si>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</si>
  <si>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</si>
  <si>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</si>
  <si>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</si>
  <si>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</si>
  <si>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</si>
  <si>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</si>
  <si>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</si>
  <si>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</si>
  <si>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</si>
  <si>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</si>
  <si>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</si>
  <si>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</si>
  <si>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</si>
  <si>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</si>
  <si>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</si>
  <si>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</si>
  <si>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</si>
  <si>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</si>
  <si>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</si>
  <si>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</si>
  <si>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</si>
  <si>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</si>
  <si>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</si>
  <si>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</si>
  <si>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</si>
  <si>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</si>
  <si>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</si>
  <si>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</si>
  <si>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</si>
  <si>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</si>
  <si>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</si>
  <si>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</si>
  <si>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</si>
  <si>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</si>
  <si>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</si>
  <si>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</si>
  <si>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</si>
  <si>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</si>
  <si>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</si>
  <si>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</si>
  <si>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</si>
  <si>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</si>
  <si>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</si>
  <si>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</si>
  <si>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</si>
  <si>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</si>
  <si>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</si>
  <si>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съставяне:27.01.2017            </t>
  </si>
  <si>
    <t>Дата на съставяне:27.01.2017</t>
  </si>
  <si>
    <t>Дата: 27.01.2017…………..        Съставител: ………………..        Ръководител: …………………</t>
  </si>
  <si>
    <t>Дата на съставяне: 27.01.2017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</si>
</sst>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0">
      <selection activeCell="H32" sqref="H3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0" t="s">
        <v>865</v>
      </c>
      <c r="F3" s="217" t="s">
        <v>2</v>
      </c>
      <c r="G3" s="172"/>
      <c r="H3" s="459">
        <v>103036725</v>
      </c>
    </row>
    <row r="4" spans="1:8" ht="15">
      <c r="A4" s="585" t="s">
        <v>3</v>
      </c>
      <c r="B4" s="582"/>
      <c r="C4" s="582"/>
      <c r="D4" s="582"/>
      <c r="E4" s="502" t="s">
        <v>866</v>
      </c>
      <c r="F4" s="587" t="s">
        <v>4</v>
      </c>
      <c r="G4" s="588"/>
      <c r="H4" s="459" t="s">
        <v>159</v>
      </c>
    </row>
    <row r="5" spans="1:8" ht="15">
      <c r="A5" s="585" t="s">
        <v>5</v>
      </c>
      <c r="B5" s="586"/>
      <c r="C5" s="586"/>
      <c r="D5" s="586"/>
      <c r="E5" s="503">
        <v>42735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6497</v>
      </c>
      <c r="D12" s="151">
        <v>6673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2657</v>
      </c>
      <c r="D13" s="151">
        <v>3020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1303</v>
      </c>
      <c r="D14" s="151">
        <v>1382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48</v>
      </c>
      <c r="D15" s="151">
        <v>66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11054</v>
      </c>
      <c r="D19" s="155">
        <f>SUM(D11:D18)</f>
        <v>11692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f>6076-4</f>
        <v>6072</v>
      </c>
      <c r="H20" s="158">
        <f>6076-4</f>
        <v>6072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13686</v>
      </c>
      <c r="H25" s="154">
        <f>H19+H20+H21</f>
        <v>13686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9</v>
      </c>
      <c r="E27" s="253" t="s">
        <v>83</v>
      </c>
      <c r="F27" s="242" t="s">
        <v>84</v>
      </c>
      <c r="G27" s="154">
        <f>SUM(G28:G30)</f>
        <v>-13097</v>
      </c>
      <c r="H27" s="154">
        <f>SUM(H28:H30)</f>
        <v>-11679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1560+4</f>
        <v>1564</v>
      </c>
      <c r="H28" s="152">
        <f>1560+4</f>
        <v>1564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-14661</v>
      </c>
      <c r="H29" s="316">
        <v>-13243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-1181</v>
      </c>
      <c r="H32" s="316">
        <v>-1414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-14278</v>
      </c>
      <c r="H33" s="154">
        <f>H27+H31+H32</f>
        <v>-13093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19</v>
      </c>
      <c r="H36" s="154">
        <f>H25+H17+H33</f>
        <v>1204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393+3329+3564</f>
        <v>7286</v>
      </c>
      <c r="H43" s="152">
        <f>393+3344+3564</f>
        <v>7301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7286</v>
      </c>
      <c r="H49" s="154">
        <f>SUM(H43:H48)</f>
        <v>7301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f>226+4</f>
        <v>230</v>
      </c>
      <c r="H53" s="152">
        <f>226+4</f>
        <v>230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11054</v>
      </c>
      <c r="D55" s="155">
        <f>D19+D20+D21+D27+D32+D45+D51+D53+D54</f>
        <v>11701</v>
      </c>
      <c r="E55" s="237" t="s">
        <v>172</v>
      </c>
      <c r="F55" s="261" t="s">
        <v>173</v>
      </c>
      <c r="G55" s="154">
        <f>G49+G51+G52+G53+G54</f>
        <v>7516</v>
      </c>
      <c r="H55" s="154">
        <f>H49+H51+H52+H53+H54</f>
        <v>7531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21</v>
      </c>
      <c r="D58" s="151">
        <v>73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55</v>
      </c>
      <c r="D59" s="151">
        <f>172-43</f>
        <v>129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632</v>
      </c>
      <c r="D60" s="151">
        <v>655</v>
      </c>
      <c r="E60" s="237" t="s">
        <v>185</v>
      </c>
      <c r="F60" s="242" t="s">
        <v>186</v>
      </c>
      <c r="G60" s="152">
        <v>1316</v>
      </c>
      <c r="H60" s="152">
        <v>1316</v>
      </c>
    </row>
    <row r="61" spans="1:18" ht="15">
      <c r="A61" s="235" t="s">
        <v>187</v>
      </c>
      <c r="B61" s="244" t="s">
        <v>188</v>
      </c>
      <c r="C61" s="151">
        <v>2</v>
      </c>
      <c r="D61" s="151">
        <v>43</v>
      </c>
      <c r="E61" s="243" t="s">
        <v>189</v>
      </c>
      <c r="F61" s="272" t="s">
        <v>190</v>
      </c>
      <c r="G61" s="154">
        <f>SUM(G62:G68)</f>
        <v>3088</v>
      </c>
      <c r="H61" s="154">
        <f>SUM(H62:H68)</f>
        <v>3038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876+7</f>
        <v>883</v>
      </c>
      <c r="H62" s="152">
        <f>693+7</f>
        <v>700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710</v>
      </c>
      <c r="D64" s="155">
        <f>SUM(D58:D63)</f>
        <v>900</v>
      </c>
      <c r="E64" s="237" t="s">
        <v>200</v>
      </c>
      <c r="F64" s="242" t="s">
        <v>201</v>
      </c>
      <c r="G64" s="152">
        <f>8191-3329-3564</f>
        <v>1298</v>
      </c>
      <c r="H64" s="152">
        <f>8169-6908+259</f>
        <v>1520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</v>
      </c>
      <c r="H65" s="152">
        <v>28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80</v>
      </c>
      <c r="H66" s="152">
        <v>65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255+53+101</f>
        <v>409</v>
      </c>
      <c r="H67" s="152">
        <f>231+49+91</f>
        <v>371</v>
      </c>
    </row>
    <row r="68" spans="1:8" ht="15">
      <c r="A68" s="235" t="s">
        <v>211</v>
      </c>
      <c r="B68" s="241" t="s">
        <v>212</v>
      </c>
      <c r="C68" s="151">
        <f>412-109</f>
        <v>303</v>
      </c>
      <c r="D68" s="151">
        <f>414-109+259</f>
        <v>564</v>
      </c>
      <c r="E68" s="237" t="s">
        <v>213</v>
      </c>
      <c r="F68" s="242" t="s">
        <v>214</v>
      </c>
      <c r="G68" s="152">
        <f>163+74+133+8+12</f>
        <v>390</v>
      </c>
      <c r="H68" s="152">
        <f>129+80+121+10+12+2</f>
        <v>354</v>
      </c>
    </row>
    <row r="69" spans="1:8" ht="15">
      <c r="A69" s="235" t="s">
        <v>215</v>
      </c>
      <c r="B69" s="241" t="s">
        <v>216</v>
      </c>
      <c r="C69" s="151">
        <v>1564</v>
      </c>
      <c r="D69" s="151">
        <v>1564</v>
      </c>
      <c r="E69" s="251" t="s">
        <v>78</v>
      </c>
      <c r="F69" s="242" t="s">
        <v>217</v>
      </c>
      <c r="G69" s="152">
        <f>238+34+8+17+3+5</f>
        <v>305</v>
      </c>
      <c r="H69" s="152">
        <f>229+16+10+40+2-4</f>
        <v>293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55-55</f>
        <v>0</v>
      </c>
      <c r="D71" s="151">
        <f>55-55</f>
        <v>0</v>
      </c>
      <c r="E71" s="253" t="s">
        <v>46</v>
      </c>
      <c r="F71" s="273" t="s">
        <v>224</v>
      </c>
      <c r="G71" s="161">
        <f>G59+G60+G61+G69+G70</f>
        <v>6110</v>
      </c>
      <c r="H71" s="161">
        <f>H59+H60+H61+H69+H70</f>
        <v>6048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5+4</f>
        <v>9</v>
      </c>
      <c r="D74" s="151">
        <f>37+12</f>
        <v>49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1876</v>
      </c>
      <c r="D75" s="155">
        <f>SUM(D67:D74)</f>
        <v>2177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6110</v>
      </c>
      <c r="H79" s="162">
        <f>H71+H74+H75+H76</f>
        <v>6048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f>2067-2067</f>
        <v>0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2591</v>
      </c>
      <c r="D93" s="155">
        <f>D64+D75+D84+D91+D92</f>
        <v>3082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13645</v>
      </c>
      <c r="D94" s="164">
        <f>D93+D55</f>
        <v>14783</v>
      </c>
      <c r="E94" s="448" t="s">
        <v>270</v>
      </c>
      <c r="F94" s="289" t="s">
        <v>271</v>
      </c>
      <c r="G94" s="165">
        <f>G36+G39+G55+G79</f>
        <v>13645</v>
      </c>
      <c r="H94" s="165">
        <f>H36+H39+H55+H79</f>
        <v>14783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42762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9" sqref="H9:H11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42735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8</v>
      </c>
      <c r="D9" s="46">
        <v>56</v>
      </c>
      <c r="E9" s="298" t="s">
        <v>285</v>
      </c>
      <c r="F9" s="547" t="s">
        <v>286</v>
      </c>
      <c r="G9" s="548">
        <v>24</v>
      </c>
      <c r="H9" s="548">
        <v>55</v>
      </c>
    </row>
    <row r="10" spans="1:8" ht="12">
      <c r="A10" s="298" t="s">
        <v>287</v>
      </c>
      <c r="B10" s="299" t="s">
        <v>288</v>
      </c>
      <c r="C10" s="46">
        <v>126</v>
      </c>
      <c r="D10" s="46">
        <v>98</v>
      </c>
      <c r="E10" s="298" t="s">
        <v>289</v>
      </c>
      <c r="F10" s="547" t="s">
        <v>290</v>
      </c>
      <c r="G10" s="548">
        <v>8</v>
      </c>
      <c r="H10" s="548">
        <v>9</v>
      </c>
    </row>
    <row r="11" spans="1:8" ht="12">
      <c r="A11" s="298" t="s">
        <v>291</v>
      </c>
      <c r="B11" s="299" t="s">
        <v>292</v>
      </c>
      <c r="C11" s="46">
        <v>645</v>
      </c>
      <c r="D11" s="46">
        <v>636</v>
      </c>
      <c r="E11" s="300" t="s">
        <v>293</v>
      </c>
      <c r="F11" s="547" t="s">
        <v>294</v>
      </c>
      <c r="G11" s="548">
        <v>178</v>
      </c>
      <c r="H11" s="548">
        <v>171</v>
      </c>
    </row>
    <row r="12" spans="1:8" ht="12">
      <c r="A12" s="298" t="s">
        <v>295</v>
      </c>
      <c r="B12" s="299" t="s">
        <v>296</v>
      </c>
      <c r="C12" s="46">
        <v>122</v>
      </c>
      <c r="D12" s="46">
        <v>118</v>
      </c>
      <c r="E12" s="300" t="s">
        <v>78</v>
      </c>
      <c r="F12" s="547" t="s">
        <v>297</v>
      </c>
      <c r="G12" s="548">
        <f>4+1-1+1</f>
        <v>5</v>
      </c>
      <c r="H12" s="548">
        <v>71</v>
      </c>
    </row>
    <row r="13" spans="1:18" ht="12">
      <c r="A13" s="298" t="s">
        <v>298</v>
      </c>
      <c r="B13" s="299" t="s">
        <v>299</v>
      </c>
      <c r="C13" s="46">
        <v>23</v>
      </c>
      <c r="D13" s="46">
        <v>27</v>
      </c>
      <c r="E13" s="301" t="s">
        <v>51</v>
      </c>
      <c r="F13" s="549" t="s">
        <v>300</v>
      </c>
      <c r="G13" s="546">
        <f>SUM(G9:G12)</f>
        <v>215</v>
      </c>
      <c r="H13" s="546">
        <f>SUM(H9:H12)</f>
        <v>306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f>11+1</f>
        <v>12</v>
      </c>
      <c r="D14" s="46">
        <v>19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115-13+4+1</f>
        <v>107</v>
      </c>
      <c r="D15" s="47">
        <v>228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169</v>
      </c>
      <c r="D16" s="47">
        <v>86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1212</v>
      </c>
      <c r="D19" s="49">
        <f>SUM(D9:D15)+D16</f>
        <v>1268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184</v>
      </c>
      <c r="D22" s="46">
        <v>521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184</v>
      </c>
      <c r="D26" s="49">
        <f>SUM(D22:D25)</f>
        <v>522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1396</v>
      </c>
      <c r="D28" s="50">
        <f>D26+D19</f>
        <v>1790</v>
      </c>
      <c r="E28" s="127" t="s">
        <v>339</v>
      </c>
      <c r="F28" s="552" t="s">
        <v>340</v>
      </c>
      <c r="G28" s="546">
        <f>G13+G15+G24</f>
        <v>215</v>
      </c>
      <c r="H28" s="546">
        <f>H13+H15+H24</f>
        <v>306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1181</v>
      </c>
      <c r="H30" s="53">
        <f>IF((D28-H28)&gt;0,D28-H28,0)</f>
        <v>1484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1396</v>
      </c>
      <c r="D33" s="49">
        <f>D28+D31+D32</f>
        <v>1790</v>
      </c>
      <c r="E33" s="127" t="s">
        <v>353</v>
      </c>
      <c r="F33" s="552" t="s">
        <v>354</v>
      </c>
      <c r="G33" s="53">
        <f>G32+G31+G28</f>
        <v>215</v>
      </c>
      <c r="H33" s="53">
        <f>H32+H31+H28</f>
        <v>306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1181</v>
      </c>
      <c r="H34" s="546">
        <f>IF((D33-H33)&gt;0,D33-H33,0)</f>
        <v>1484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-70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>
        <v>-70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1181</v>
      </c>
      <c r="H39" s="557">
        <f>IF(H34&gt;0,IF(D35+H34&lt;0,0,D35+H34),IF(D34-D35&lt;0,D35-D34,0))</f>
        <v>1414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1181</v>
      </c>
      <c r="H41" s="52">
        <f>IF(D39=0,IF(H39-H40&gt;0,H39-H40+D40,0),IF(D39-D40&lt;0,D40-D39+H40,0))</f>
        <v>1414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1396</v>
      </c>
      <c r="D42" s="53">
        <f>D33+D35+D39</f>
        <v>1720</v>
      </c>
      <c r="E42" s="128" t="s">
        <v>380</v>
      </c>
      <c r="F42" s="129" t="s">
        <v>381</v>
      </c>
      <c r="G42" s="53">
        <f>G39+G33</f>
        <v>1396</v>
      </c>
      <c r="H42" s="53">
        <f>H39+H33</f>
        <v>1720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42762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D20" sqref="D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42735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182-1</f>
        <v>181</v>
      </c>
      <c r="D10" s="54">
        <v>277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-105-15-12</f>
        <v>-132</v>
      </c>
      <c r="D11" s="54">
        <v>-218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-76-5</f>
        <v>-81</v>
      </c>
      <c r="D13" s="54">
        <v>-82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</v>
      </c>
      <c r="D14" s="54">
        <v>-12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-4-3+9-4+35</f>
        <v>33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</v>
      </c>
      <c r="D20" s="55">
        <f>SUM(D10:D19)</f>
        <v>-35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36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</v>
      </c>
      <c r="D32" s="55">
        <f>SUM(D22:D31)</f>
        <v>36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42762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42735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6072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1564</v>
      </c>
      <c r="J11" s="58">
        <f>'справка №1-БАЛАНС'!H29+'справка №1-БАЛАНС'!H32</f>
        <v>-14657</v>
      </c>
      <c r="K11" s="60"/>
      <c r="L11" s="344">
        <f>SUM(C11:K11)</f>
        <v>1204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-4</v>
      </c>
      <c r="K12" s="59">
        <f t="shared" si="0"/>
        <v>0</v>
      </c>
      <c r="L12" s="344">
        <f aca="true" t="shared" si="1" ref="L12:L32">SUM(C12:K12)</f>
        <v>-4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>
        <v>-4</v>
      </c>
      <c r="K14" s="60"/>
      <c r="L14" s="344">
        <f t="shared" si="1"/>
        <v>-4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6072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1564</v>
      </c>
      <c r="J15" s="61">
        <f t="shared" si="2"/>
        <v>-14661</v>
      </c>
      <c r="K15" s="61">
        <f t="shared" si="2"/>
        <v>0</v>
      </c>
      <c r="L15" s="344">
        <f t="shared" si="1"/>
        <v>1200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-1181</v>
      </c>
      <c r="K16" s="60"/>
      <c r="L16" s="344">
        <f t="shared" si="1"/>
        <v>-1181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0</v>
      </c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6072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1564</v>
      </c>
      <c r="J29" s="59">
        <f t="shared" si="6"/>
        <v>-15842</v>
      </c>
      <c r="K29" s="59">
        <f t="shared" si="6"/>
        <v>0</v>
      </c>
      <c r="L29" s="344">
        <f t="shared" si="1"/>
        <v>19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6072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1564</v>
      </c>
      <c r="J32" s="59">
        <f t="shared" si="7"/>
        <v>-15842</v>
      </c>
      <c r="K32" s="59">
        <f t="shared" si="7"/>
        <v>0</v>
      </c>
      <c r="L32" s="344">
        <f t="shared" si="1"/>
        <v>19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42762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"Алфа Ууд България"АД</v>
      </c>
      <c r="D2" s="615"/>
      <c r="E2" s="615"/>
      <c r="F2" s="615"/>
      <c r="G2" s="615"/>
      <c r="H2" s="61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3" t="s">
        <v>5</v>
      </c>
      <c r="B3" s="614"/>
      <c r="C3" s="616">
        <f>'справка №1-БАЛАНС'!E5</f>
        <v>42735</v>
      </c>
      <c r="D3" s="616"/>
      <c r="E3" s="616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8886</v>
      </c>
      <c r="E10" s="189"/>
      <c r="F10" s="189"/>
      <c r="G10" s="74">
        <f aca="true" t="shared" si="2" ref="G10:G39">D10+E10-F10</f>
        <v>8886</v>
      </c>
      <c r="H10" s="65"/>
      <c r="I10" s="65"/>
      <c r="J10" s="74">
        <f aca="true" t="shared" si="3" ref="J10:J39">G10+H10-I10</f>
        <v>8886</v>
      </c>
      <c r="K10" s="65">
        <v>2213</v>
      </c>
      <c r="L10" s="65">
        <v>176</v>
      </c>
      <c r="M10" s="65"/>
      <c r="N10" s="74">
        <f aca="true" t="shared" si="4" ref="N10:N39">K10+L10-M10</f>
        <v>2389</v>
      </c>
      <c r="O10" s="65"/>
      <c r="P10" s="65"/>
      <c r="Q10" s="74">
        <f t="shared" si="0"/>
        <v>2389</v>
      </c>
      <c r="R10" s="74">
        <f t="shared" si="1"/>
        <v>6497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7073</v>
      </c>
      <c r="E11" s="189"/>
      <c r="F11" s="189">
        <v>44</v>
      </c>
      <c r="G11" s="74">
        <f t="shared" si="2"/>
        <v>7029</v>
      </c>
      <c r="H11" s="65"/>
      <c r="I11" s="65"/>
      <c r="J11" s="74">
        <f t="shared" si="3"/>
        <v>7029</v>
      </c>
      <c r="K11" s="65">
        <v>4053</v>
      </c>
      <c r="L11" s="65">
        <v>361</v>
      </c>
      <c r="M11" s="65">
        <v>42</v>
      </c>
      <c r="N11" s="74">
        <f t="shared" si="4"/>
        <v>4372</v>
      </c>
      <c r="O11" s="65"/>
      <c r="P11" s="65"/>
      <c r="Q11" s="74">
        <f t="shared" si="0"/>
        <v>4372</v>
      </c>
      <c r="R11" s="74">
        <f t="shared" si="1"/>
        <v>2657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2372</v>
      </c>
      <c r="E12" s="189"/>
      <c r="F12" s="189"/>
      <c r="G12" s="74">
        <f t="shared" si="2"/>
        <v>2372</v>
      </c>
      <c r="H12" s="65"/>
      <c r="I12" s="65"/>
      <c r="J12" s="74">
        <f t="shared" si="3"/>
        <v>2372</v>
      </c>
      <c r="K12" s="65">
        <v>990</v>
      </c>
      <c r="L12" s="65">
        <v>79</v>
      </c>
      <c r="M12" s="65"/>
      <c r="N12" s="74">
        <f t="shared" si="4"/>
        <v>1069</v>
      </c>
      <c r="O12" s="65"/>
      <c r="P12" s="65"/>
      <c r="Q12" s="74">
        <f t="shared" si="0"/>
        <v>1069</v>
      </c>
      <c r="R12" s="74">
        <f t="shared" si="1"/>
        <v>1303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565</v>
      </c>
      <c r="E13" s="189"/>
      <c r="F13" s="189"/>
      <c r="G13" s="74">
        <f t="shared" si="2"/>
        <v>565</v>
      </c>
      <c r="H13" s="65"/>
      <c r="I13" s="65"/>
      <c r="J13" s="74">
        <f t="shared" si="3"/>
        <v>565</v>
      </c>
      <c r="K13" s="65">
        <v>499</v>
      </c>
      <c r="L13" s="65">
        <v>18</v>
      </c>
      <c r="M13" s="65">
        <v>0</v>
      </c>
      <c r="N13" s="74">
        <f t="shared" si="4"/>
        <v>517</v>
      </c>
      <c r="O13" s="65"/>
      <c r="P13" s="65"/>
      <c r="Q13" s="74">
        <f t="shared" si="0"/>
        <v>517</v>
      </c>
      <c r="R13" s="74">
        <f t="shared" si="1"/>
        <v>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/>
      <c r="F15" s="455"/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282</v>
      </c>
      <c r="E16" s="189"/>
      <c r="F16" s="189"/>
      <c r="G16" s="74">
        <f t="shared" si="2"/>
        <v>282</v>
      </c>
      <c r="H16" s="65"/>
      <c r="I16" s="65"/>
      <c r="J16" s="74">
        <f t="shared" si="3"/>
        <v>282</v>
      </c>
      <c r="K16" s="65">
        <v>280</v>
      </c>
      <c r="L16" s="65">
        <v>2</v>
      </c>
      <c r="M16" s="65"/>
      <c r="N16" s="74">
        <f t="shared" si="4"/>
        <v>282</v>
      </c>
      <c r="O16" s="65"/>
      <c r="P16" s="65"/>
      <c r="Q16" s="74">
        <f aca="true" t="shared" si="5" ref="Q16:Q25">N16+O16-P16</f>
        <v>282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19727</v>
      </c>
      <c r="E17" s="194">
        <f>SUM(E9:E16)</f>
        <v>0</v>
      </c>
      <c r="F17" s="194">
        <f>SUM(F9:F16)</f>
        <v>44</v>
      </c>
      <c r="G17" s="74">
        <f t="shared" si="2"/>
        <v>19683</v>
      </c>
      <c r="H17" s="75">
        <f>SUM(H9:H16)</f>
        <v>0</v>
      </c>
      <c r="I17" s="75">
        <f>SUM(I9:I16)</f>
        <v>0</v>
      </c>
      <c r="J17" s="74">
        <f t="shared" si="3"/>
        <v>19683</v>
      </c>
      <c r="K17" s="75">
        <f>SUM(K9:K16)</f>
        <v>8035</v>
      </c>
      <c r="L17" s="75">
        <f>SUM(L9:L16)</f>
        <v>636</v>
      </c>
      <c r="M17" s="75">
        <f>SUM(M9:M16)</f>
        <v>42</v>
      </c>
      <c r="N17" s="74">
        <f t="shared" si="4"/>
        <v>8629</v>
      </c>
      <c r="O17" s="75">
        <f>SUM(O9:O16)</f>
        <v>0</v>
      </c>
      <c r="P17" s="75">
        <f>SUM(P9:P16)</f>
        <v>0</v>
      </c>
      <c r="Q17" s="74">
        <f t="shared" si="5"/>
        <v>8629</v>
      </c>
      <c r="R17" s="74">
        <f t="shared" si="6"/>
        <v>11054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85</v>
      </c>
      <c r="E22" s="189"/>
      <c r="F22" s="189"/>
      <c r="G22" s="74">
        <f t="shared" si="2"/>
        <v>85</v>
      </c>
      <c r="H22" s="65"/>
      <c r="I22" s="65"/>
      <c r="J22" s="74">
        <f t="shared" si="3"/>
        <v>85</v>
      </c>
      <c r="K22" s="65">
        <v>76</v>
      </c>
      <c r="L22" s="65">
        <v>9</v>
      </c>
      <c r="M22" s="65"/>
      <c r="N22" s="74">
        <f t="shared" si="4"/>
        <v>85</v>
      </c>
      <c r="O22" s="65"/>
      <c r="P22" s="65"/>
      <c r="Q22" s="74">
        <f t="shared" si="5"/>
        <v>85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85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76</v>
      </c>
      <c r="L25" s="66">
        <f t="shared" si="7"/>
        <v>9</v>
      </c>
      <c r="M25" s="66">
        <f t="shared" si="7"/>
        <v>0</v>
      </c>
      <c r="N25" s="67">
        <f t="shared" si="4"/>
        <v>85</v>
      </c>
      <c r="O25" s="66">
        <f t="shared" si="7"/>
        <v>0</v>
      </c>
      <c r="P25" s="66">
        <f t="shared" si="7"/>
        <v>0</v>
      </c>
      <c r="Q25" s="67">
        <f t="shared" si="5"/>
        <v>85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19812</v>
      </c>
      <c r="E40" s="437">
        <f>E17+E18+E19+E25+E38+E39</f>
        <v>0</v>
      </c>
      <c r="F40" s="437">
        <f aca="true" t="shared" si="13" ref="F40:R40">F17+F18+F19+F25+F38+F39</f>
        <v>44</v>
      </c>
      <c r="G40" s="437">
        <f t="shared" si="13"/>
        <v>19768</v>
      </c>
      <c r="H40" s="437">
        <f t="shared" si="13"/>
        <v>0</v>
      </c>
      <c r="I40" s="437">
        <f t="shared" si="13"/>
        <v>0</v>
      </c>
      <c r="J40" s="437">
        <f t="shared" si="13"/>
        <v>19768</v>
      </c>
      <c r="K40" s="437">
        <f t="shared" si="13"/>
        <v>8111</v>
      </c>
      <c r="L40" s="437">
        <f t="shared" si="13"/>
        <v>645</v>
      </c>
      <c r="M40" s="437">
        <f t="shared" si="13"/>
        <v>42</v>
      </c>
      <c r="N40" s="437">
        <f t="shared" si="13"/>
        <v>8714</v>
      </c>
      <c r="O40" s="437">
        <f t="shared" si="13"/>
        <v>0</v>
      </c>
      <c r="P40" s="437">
        <f t="shared" si="13"/>
        <v>0</v>
      </c>
      <c r="Q40" s="437">
        <f t="shared" si="13"/>
        <v>8714</v>
      </c>
      <c r="R40" s="437">
        <f t="shared" si="13"/>
        <v>11054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42735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312</v>
      </c>
      <c r="D28" s="108">
        <v>312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3+1561</f>
        <v>1564</v>
      </c>
      <c r="D29" s="108">
        <f>3+1561</f>
        <v>1564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36</v>
      </c>
      <c r="D38" s="105">
        <f>SUM(D39:D42)</f>
        <v>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36</v>
      </c>
      <c r="D42" s="108">
        <v>36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1912</v>
      </c>
      <c r="D43" s="104">
        <f>D24+D28+D29+D31+D30+D32+D33+D38</f>
        <v>1912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1912</v>
      </c>
      <c r="D44" s="103">
        <f>D43+D21+D19+D9</f>
        <v>1912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7286</v>
      </c>
      <c r="D52" s="103">
        <f>SUM(D53:D55)</f>
        <v>0</v>
      </c>
      <c r="E52" s="119">
        <f>C52-D52</f>
        <v>7286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7286</v>
      </c>
      <c r="D54" s="108">
        <v>0</v>
      </c>
      <c r="E54" s="119">
        <f aca="true" t="shared" si="1" ref="E54:E95">C54-D54</f>
        <v>7286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7286</v>
      </c>
      <c r="D66" s="103">
        <f>D52+D56+D61+D62+D63+D64</f>
        <v>0</v>
      </c>
      <c r="E66" s="119">
        <f t="shared" si="1"/>
        <v>7286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230</v>
      </c>
      <c r="D68" s="108"/>
      <c r="E68" s="119">
        <f t="shared" si="1"/>
        <v>230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883</v>
      </c>
      <c r="D71" s="105">
        <f>SUM(D72:D74)</f>
        <v>883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883</v>
      </c>
      <c r="D74" s="108">
        <v>883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1316</v>
      </c>
      <c r="D80" s="103">
        <f>SUM(D81:D84)</f>
        <v>1316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1316</v>
      </c>
      <c r="D83" s="108">
        <v>1316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2205</v>
      </c>
      <c r="D85" s="104">
        <f>SUM(D86:D90)+D94</f>
        <v>2205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1298</v>
      </c>
      <c r="D87" s="108">
        <v>1298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80</v>
      </c>
      <c r="D89" s="108">
        <v>80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390</v>
      </c>
      <c r="D90" s="103">
        <f>SUM(D91:D93)</f>
        <v>390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74</v>
      </c>
      <c r="D92" s="108">
        <v>74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316</v>
      </c>
      <c r="D93" s="108">
        <v>316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409</v>
      </c>
      <c r="D94" s="108">
        <v>409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305</v>
      </c>
      <c r="D95" s="108">
        <v>305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6110</v>
      </c>
      <c r="D96" s="104">
        <f>D85+D80+D75+D71+D95</f>
        <v>6110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13626</v>
      </c>
      <c r="D97" s="104">
        <f>D96+D68+D66</f>
        <v>6110</v>
      </c>
      <c r="E97" s="104">
        <f>E96+E68+E66</f>
        <v>7516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42762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42735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5" sqref="A35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0">
      <selection activeCell="A152" sqref="A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42735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2017-02-11T19:27:14Z</cp:lastPrinted>
  <dcterms:created xsi:type="dcterms:W3CDTF">2000-06-29T12:02:40Z</dcterms:created>
  <dcterms:modified xsi:type="dcterms:W3CDTF">2017-02-26T14:31:03Z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