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<sst xmlns="http://schemas.openxmlformats.org/spreadsheetml/2006/main" count="1051" uniqueCount="868">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</sst>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4" fontId="10" fillId="0" borderId="0" xfId="25" applyNumberFormat="1" applyFont="1" applyProtection="1">
      <alignment/>
      <protection locked="0"/>
    </xf>
    <xf numFmtId="14" fontId="10" fillId="0" borderId="0" xfId="23" applyNumberFormat="1" applyFont="1" applyAlignment="1" applyProtection="1">
      <alignment vertical="center" wrapText="1"/>
      <protection locked="0"/>
    </xf>
    <xf numFmtId="14" fontId="4" fillId="0" borderId="0" xfId="24" applyNumberFormat="1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5" fillId="0" borderId="0" xfId="24" applyNumberFormat="1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>
      <alignment horizontal="right" vertical="justify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7\Quarterly%20reporting\Q4\Lead%20schedules%20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6\KFN\Q4\Annual%20Statements\GFO_KFN_12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TB before DT draft"/>
      <sheetName val="BS 04 NAS EY"/>
      <sheetName val="IS 04 NAS"/>
      <sheetName val="Cash"/>
      <sheetName val="Adjustments"/>
      <sheetName val="TFA"/>
      <sheetName val="IFA"/>
      <sheetName val="Def Exp"/>
      <sheetName val="Loans"/>
      <sheetName val="Related party Receivables"/>
      <sheetName val="Trade receivables"/>
      <sheetName val="Other recevables"/>
      <sheetName val="Equity"/>
      <sheetName val="Funding"/>
      <sheetName val="LT creditors"/>
      <sheetName val="ST loans&amp;creditors"/>
      <sheetName val="Op exp"/>
      <sheetName val="Op income"/>
      <sheetName val="Financecost"/>
    </sheetNames>
    <sheetDataSet>
      <sheetData sheetId="5">
        <row r="14">
          <cell r="D14">
            <v>223.07000000000002</v>
          </cell>
        </row>
        <row r="18">
          <cell r="D18">
            <v>1007055.66</v>
          </cell>
        </row>
      </sheetData>
      <sheetData sheetId="7">
        <row r="13">
          <cell r="F13">
            <v>39328.5</v>
          </cell>
        </row>
        <row r="14">
          <cell r="F14">
            <v>156510.56</v>
          </cell>
        </row>
      </sheetData>
      <sheetData sheetId="9">
        <row r="16">
          <cell r="D16">
            <v>5004442.43</v>
          </cell>
        </row>
      </sheetData>
      <sheetData sheetId="14">
        <row r="14">
          <cell r="D14">
            <v>15700000</v>
          </cell>
        </row>
        <row r="18">
          <cell r="D18">
            <v>160764.08</v>
          </cell>
        </row>
        <row r="20">
          <cell r="D20">
            <v>518795.5090000045</v>
          </cell>
        </row>
      </sheetData>
      <sheetData sheetId="16">
        <row r="23">
          <cell r="D23">
            <v>13727630.132727273</v>
          </cell>
        </row>
      </sheetData>
      <sheetData sheetId="17">
        <row r="24">
          <cell r="D24">
            <v>1630373.4158064516</v>
          </cell>
        </row>
        <row r="29">
          <cell r="D29">
            <v>16598210.056734731</v>
          </cell>
        </row>
        <row r="31">
          <cell r="D31">
            <v>20635749.257272728</v>
          </cell>
        </row>
        <row r="34">
          <cell r="D34">
            <v>23470833.32</v>
          </cell>
        </row>
        <row r="42">
          <cell r="D42">
            <v>454137.93000000005</v>
          </cell>
        </row>
        <row r="45">
          <cell r="D45">
            <v>542061.05</v>
          </cell>
        </row>
        <row r="46">
          <cell r="D46">
            <v>161955</v>
          </cell>
        </row>
        <row r="47">
          <cell r="D47">
            <v>1420</v>
          </cell>
        </row>
        <row r="48">
          <cell r="D48">
            <v>194189.32</v>
          </cell>
        </row>
        <row r="49">
          <cell r="D49">
            <v>29402.11</v>
          </cell>
        </row>
        <row r="57">
          <cell r="D57">
            <v>84846.53000000001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13">
          <cell r="G13">
            <v>244</v>
          </cell>
        </row>
        <row r="21">
          <cell r="G21">
            <v>30</v>
          </cell>
        </row>
        <row r="24">
          <cell r="G24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D83" sqref="D83"/>
    </sheetView>
  </sheetViews>
  <sheetFormatPr defaultColWidth="9.00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7" t="s">
        <v>1</v>
      </c>
      <c r="B3" s="578"/>
      <c r="C3" s="578"/>
      <c r="D3" s="578"/>
      <c r="E3" s="452" t="s">
        <v>864</v>
      </c>
      <c r="F3" s="211" t="s">
        <v>2</v>
      </c>
      <c r="G3" s="166"/>
      <c r="H3" s="451">
        <v>121554961</v>
      </c>
    </row>
    <row r="4" spans="1:8" ht="15">
      <c r="A4" s="577" t="s">
        <v>865</v>
      </c>
      <c r="B4" s="583"/>
      <c r="C4" s="583"/>
      <c r="D4" s="583"/>
      <c r="E4" s="494" t="s">
        <v>866</v>
      </c>
      <c r="F4" s="579" t="s">
        <v>3</v>
      </c>
      <c r="G4" s="580"/>
      <c r="H4" s="451" t="s">
        <v>158</v>
      </c>
    </row>
    <row r="5" spans="1:8" ht="15">
      <c r="A5" s="577" t="s">
        <v>4</v>
      </c>
      <c r="B5" s="578"/>
      <c r="C5" s="578"/>
      <c r="D5" s="578"/>
      <c r="E5" s="495">
        <v>39813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25000</v>
      </c>
      <c r="H11" s="146">
        <f>+'[1]Equity'!$D$14/1000</f>
        <v>15700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101</v>
      </c>
      <c r="D13" s="145">
        <v>193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>
        <v>9</v>
      </c>
      <c r="D15" s="145">
        <f>+'[1]TFA'!$F$13/1000</f>
        <v>39.3285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254</v>
      </c>
      <c r="D16" s="145">
        <f>+'[1]TFA'!$F$14/1000</f>
        <v>156.51056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25000</v>
      </c>
      <c r="H17" s="148">
        <f>H11+H14+H15+H16</f>
        <v>15700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364</v>
      </c>
      <c r="D19" s="149">
        <f>SUM(D11:D18)</f>
        <v>388.83906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628</v>
      </c>
      <c r="H21" s="150">
        <f>SUM(H22:H24)</f>
        <v>567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628</v>
      </c>
      <c r="H22" s="146">
        <v>567</v>
      </c>
    </row>
    <row r="23" spans="1:13" ht="15">
      <c r="A23" s="229" t="s">
        <v>65</v>
      </c>
      <c r="B23" s="235" t="s">
        <v>66</v>
      </c>
      <c r="C23" s="145">
        <v>13</v>
      </c>
      <c r="D23" s="145">
        <v>16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130</v>
      </c>
      <c r="D24" s="145">
        <v>203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628</v>
      </c>
      <c r="H25" s="148">
        <f>H19+H20+H21</f>
        <v>567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195</v>
      </c>
      <c r="D26" s="145">
        <v>136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338</v>
      </c>
      <c r="D27" s="149">
        <f>SUM(D23:D26)</f>
        <v>355</v>
      </c>
      <c r="E27" s="247" t="s">
        <v>82</v>
      </c>
      <c r="F27" s="236" t="s">
        <v>83</v>
      </c>
      <c r="G27" s="148">
        <f>SUM(G28:G30)</f>
        <v>161</v>
      </c>
      <c r="H27" s="148">
        <f>SUM(H28:H30)</f>
        <v>160.76407999999998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>
        <v>161</v>
      </c>
      <c r="H28" s="146">
        <f>+'[1]Equity'!$D$18/1000</f>
        <v>160.76407999999998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/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f>+'справка №2-ОТЧЕТ ЗА ДОХОДИТЕ'!C41</f>
        <v>913.311020000001</v>
      </c>
      <c r="H31" s="146">
        <f>+'[1]Equity'!$D$20/1000</f>
        <v>518.7955090000045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/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1074.311020000001</v>
      </c>
      <c r="H33" s="148">
        <f>H27+H31+H32</f>
        <v>679.5595890000045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26702.31102</v>
      </c>
      <c r="H36" s="148">
        <f>H25+H17+H33</f>
        <v>16946.559589000004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23645</v>
      </c>
      <c r="H43" s="146">
        <v>19508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50888</v>
      </c>
      <c r="H44" s="146">
        <v>16588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26770</v>
      </c>
      <c r="H47" s="146">
        <f>+'[1]LT creditors'!$D$23/1000</f>
        <v>13727.630132727272</v>
      </c>
      <c r="M47" s="151"/>
    </row>
    <row r="48" spans="1:8" ht="15">
      <c r="A48" s="229" t="s">
        <v>146</v>
      </c>
      <c r="B48" s="238" t="s">
        <v>147</v>
      </c>
      <c r="C48" s="145">
        <v>24087</v>
      </c>
      <c r="D48" s="145">
        <v>17094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101303</v>
      </c>
      <c r="H49" s="148">
        <f>SUM(H43:H48)</f>
        <v>49823.630132727274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24087</v>
      </c>
      <c r="D51" s="149">
        <f>SUM(D47:D50)</f>
        <v>17094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790</v>
      </c>
      <c r="D53" s="145">
        <v>894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25579</v>
      </c>
      <c r="D55" s="149">
        <f>D19+D20+D21+D27+D32+D45+D51+D53+D54</f>
        <v>18731.83906</v>
      </c>
      <c r="E55" s="231" t="s">
        <v>171</v>
      </c>
      <c r="F55" s="255" t="s">
        <v>172</v>
      </c>
      <c r="G55" s="148">
        <f>G49+G51+G52+G53+G54</f>
        <v>101303</v>
      </c>
      <c r="H55" s="148">
        <f>H49+H51+H52+H53+H54</f>
        <v>49823.630132727274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28195</v>
      </c>
      <c r="H59" s="146">
        <f>+'[1]ST loans&amp;creditors'!$D$29/1000+'[1]ST loans&amp;creditors'!$D$34/1000</f>
        <v>40069.04337673473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13705</v>
      </c>
      <c r="H60" s="146">
        <f>+'[1]ST loans&amp;creditors'!$D$31/1000</f>
        <v>20635.749257272728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6569</v>
      </c>
      <c r="H61" s="148">
        <f>SUM(H62:H68)</f>
        <v>3098.3853558064516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4904</v>
      </c>
      <c r="H62" s="146">
        <f>+'[1]ST loans&amp;creditors'!$D$24/1000</f>
        <v>1630.3734158064515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432</v>
      </c>
      <c r="H64" s="146">
        <f>+'[1]ST loans&amp;creditors'!$D$42/1000</f>
        <v>454.13793000000004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886</v>
      </c>
      <c r="H66" s="146">
        <f>+'[1]ST loans&amp;creditors'!$D$45/1000+'[1]ST loans&amp;creditors'!$D$46/1000</f>
        <v>704.0160500000001</v>
      </c>
    </row>
    <row r="67" spans="1:8" ht="15">
      <c r="A67" s="229" t="s">
        <v>206</v>
      </c>
      <c r="B67" s="235" t="s">
        <v>207</v>
      </c>
      <c r="C67" s="145">
        <f>186+197</f>
        <v>383</v>
      </c>
      <c r="D67" s="145">
        <v>5209</v>
      </c>
      <c r="E67" s="231" t="s">
        <v>208</v>
      </c>
      <c r="F67" s="236" t="s">
        <v>209</v>
      </c>
      <c r="G67" s="146">
        <v>250</v>
      </c>
      <c r="H67" s="146">
        <f>+('[1]ST loans&amp;creditors'!$D$47+'[1]ST loans&amp;creditors'!$D$48+'[1]ST loans&amp;creditors'!$D$49)/1000</f>
        <v>225.01143</v>
      </c>
    </row>
    <row r="68" spans="1:8" ht="15">
      <c r="A68" s="229" t="s">
        <v>210</v>
      </c>
      <c r="B68" s="235" t="s">
        <v>211</v>
      </c>
      <c r="C68" s="145">
        <v>1426</v>
      </c>
      <c r="D68" s="145">
        <v>95</v>
      </c>
      <c r="E68" s="231" t="s">
        <v>212</v>
      </c>
      <c r="F68" s="236" t="s">
        <v>213</v>
      </c>
      <c r="G68" s="146">
        <v>97</v>
      </c>
      <c r="H68" s="146">
        <f>+('[1]ST loans&amp;creditors'!$D$57)/1000</f>
        <v>84.84653000000002</v>
      </c>
    </row>
    <row r="69" spans="1:8" ht="15">
      <c r="A69" s="229" t="s">
        <v>214</v>
      </c>
      <c r="B69" s="235" t="s">
        <v>215</v>
      </c>
      <c r="C69" s="145">
        <v>888</v>
      </c>
      <c r="D69" s="145">
        <v>740</v>
      </c>
      <c r="E69" s="245" t="s">
        <v>77</v>
      </c>
      <c r="F69" s="236" t="s">
        <v>216</v>
      </c>
      <c r="G69" s="146">
        <v>1</v>
      </c>
      <c r="H69" s="146">
        <v>2</v>
      </c>
    </row>
    <row r="70" spans="1:8" ht="15">
      <c r="A70" s="229" t="s">
        <v>217</v>
      </c>
      <c r="B70" s="235" t="s">
        <v>218</v>
      </c>
      <c r="C70" s="145">
        <f>135320-197</f>
        <v>135123</v>
      </c>
      <c r="D70" s="145">
        <v>99718</v>
      </c>
      <c r="E70" s="231" t="s">
        <v>219</v>
      </c>
      <c r="F70" s="236" t="s">
        <v>220</v>
      </c>
      <c r="G70" s="146"/>
      <c r="H70" s="146"/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48470</v>
      </c>
      <c r="H71" s="155">
        <f>H59+H60+H61+H69+H70</f>
        <v>63805.17798981391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>
        <v>143</v>
      </c>
      <c r="D72" s="145">
        <v>218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1163+48-143</f>
        <v>1068</v>
      </c>
      <c r="D74" s="145">
        <v>745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139031</v>
      </c>
      <c r="D75" s="149">
        <f>SUM(D67:D74)</f>
        <v>106725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48470</v>
      </c>
      <c r="H79" s="156">
        <f>H71+H74+H75+H76</f>
        <v>63805.17798981391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f>+'[1]Cash'!$D$14/1000</f>
        <v>0.22307000000000002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9620</v>
      </c>
      <c r="D88" s="145">
        <f>+'[1]Cash'!$D$18/1000</f>
        <v>1007.05566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9620</v>
      </c>
      <c r="D91" s="149">
        <f>SUM(D87:D90)</f>
        <v>1007.27873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f>3035-790</f>
        <v>2245</v>
      </c>
      <c r="D92" s="145">
        <f>+'[1]Def Exp'!$D$16/1000-894</f>
        <v>4110.44243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150896</v>
      </c>
      <c r="D93" s="149">
        <f>D64+D75+D84+D91+D92</f>
        <v>111842.72116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176475</v>
      </c>
      <c r="D94" s="158">
        <f>D93+D55</f>
        <v>130574.56022</v>
      </c>
      <c r="E94" s="442" t="s">
        <v>269</v>
      </c>
      <c r="F94" s="283" t="s">
        <v>270</v>
      </c>
      <c r="G94" s="159">
        <f>G36+G39+G55+G79</f>
        <v>176475.31102</v>
      </c>
      <c r="H94" s="159">
        <f>H36+H39+H55+H79</f>
        <v>130575.36771154118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165"/>
      <c r="H97" s="166"/>
      <c r="M97" s="151"/>
    </row>
    <row r="98" spans="1:13" ht="15">
      <c r="A98" s="566">
        <v>39871</v>
      </c>
      <c r="B98" s="426"/>
      <c r="C98" s="581" t="s">
        <v>272</v>
      </c>
      <c r="D98" s="581"/>
      <c r="E98" s="581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1" t="s">
        <v>855</v>
      </c>
      <c r="D103" s="582"/>
      <c r="E103" s="582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G13" sqref="G13"/>
    </sheetView>
  </sheetViews>
  <sheetFormatPr defaultColWidth="9.00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6" t="str">
        <f>'справка №1-БАЛАНС'!E3</f>
        <v>Ти Би Ай Кредит ЕАД</v>
      </c>
      <c r="C2" s="586"/>
      <c r="D2" s="586"/>
      <c r="E2" s="586"/>
      <c r="F2" s="573" t="s">
        <v>2</v>
      </c>
      <c r="G2" s="573"/>
      <c r="H2" s="514">
        <f>'справка №1-БАЛАНС'!H3</f>
        <v>121554961</v>
      </c>
    </row>
    <row r="3" spans="1:8" ht="15">
      <c r="A3" s="457" t="s">
        <v>274</v>
      </c>
      <c r="B3" s="586" t="str">
        <f>'справка №1-БАЛАНС'!E4</f>
        <v>Неконсолидиран</v>
      </c>
      <c r="C3" s="586"/>
      <c r="D3" s="586"/>
      <c r="E3" s="586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72">
        <f>'справка №1-БАЛАНС'!E5</f>
        <v>39813</v>
      </c>
      <c r="C4" s="572"/>
      <c r="D4" s="572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1091</v>
      </c>
      <c r="D9" s="40">
        <v>827.9585400000001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12895</v>
      </c>
      <c r="D10" s="40">
        <v>10033.30689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418.73381</v>
      </c>
      <c r="D11" s="40">
        <v>435.91492</v>
      </c>
      <c r="E11" s="294" t="s">
        <v>292</v>
      </c>
      <c r="F11" s="537" t="s">
        <v>293</v>
      </c>
      <c r="G11" s="538">
        <v>22358</v>
      </c>
      <c r="H11" s="538">
        <v>10958</v>
      </c>
    </row>
    <row r="12" spans="1:8" ht="12">
      <c r="A12" s="292" t="s">
        <v>294</v>
      </c>
      <c r="B12" s="293" t="s">
        <v>295</v>
      </c>
      <c r="C12" s="40">
        <v>8623</v>
      </c>
      <c r="D12" s="40">
        <v>5181.71839</v>
      </c>
      <c r="E12" s="294" t="s">
        <v>77</v>
      </c>
      <c r="F12" s="537" t="s">
        <v>296</v>
      </c>
      <c r="G12" s="538">
        <v>934</v>
      </c>
      <c r="H12" s="538">
        <v>786</v>
      </c>
    </row>
    <row r="13" spans="1:18" ht="12">
      <c r="A13" s="292" t="s">
        <v>297</v>
      </c>
      <c r="B13" s="293" t="s">
        <v>298</v>
      </c>
      <c r="C13" s="40">
        <v>1730.95517</v>
      </c>
      <c r="D13" s="40">
        <v>1079.00303</v>
      </c>
      <c r="E13" s="295" t="s">
        <v>50</v>
      </c>
      <c r="F13" s="539" t="s">
        <v>299</v>
      </c>
      <c r="G13" s="536">
        <f>SUM(G9:G12)</f>
        <v>23292</v>
      </c>
      <c r="H13" s="536">
        <f>SUM(H9:H12)</f>
        <v>11744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>
        <v>0.359</v>
      </c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4552</v>
      </c>
      <c r="D16" s="41">
        <v>1355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2992</v>
      </c>
      <c r="D17" s="42"/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10</v>
      </c>
      <c r="D18" s="42">
        <v>65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29310.68898</v>
      </c>
      <c r="D19" s="43">
        <f>SUM(D9:D15)+D16</f>
        <v>18913.260769999997</v>
      </c>
      <c r="E19" s="298" t="s">
        <v>316</v>
      </c>
      <c r="F19" s="540" t="s">
        <v>317</v>
      </c>
      <c r="G19" s="538">
        <v>18732</v>
      </c>
      <c r="H19" s="538">
        <v>15764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>
        <v>33</v>
      </c>
    </row>
    <row r="22" spans="1:8" ht="24">
      <c r="A22" s="298" t="s">
        <v>323</v>
      </c>
      <c r="B22" s="299" t="s">
        <v>324</v>
      </c>
      <c r="C22" s="40">
        <v>10812</v>
      </c>
      <c r="D22" s="40">
        <v>7593.84466</v>
      </c>
      <c r="E22" s="298" t="s">
        <v>325</v>
      </c>
      <c r="F22" s="540" t="s">
        <v>326</v>
      </c>
      <c r="G22" s="538">
        <v>10</v>
      </c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>
        <v>22</v>
      </c>
      <c r="H23" s="538"/>
    </row>
    <row r="24" spans="1:18" ht="12">
      <c r="A24" s="292" t="s">
        <v>331</v>
      </c>
      <c r="B24" s="299" t="s">
        <v>332</v>
      </c>
      <c r="C24" s="40">
        <v>14</v>
      </c>
      <c r="D24" s="40">
        <v>7.11792</v>
      </c>
      <c r="E24" s="295" t="s">
        <v>102</v>
      </c>
      <c r="F24" s="542" t="s">
        <v>333</v>
      </c>
      <c r="G24" s="536">
        <f>SUM(G19:G23)</f>
        <v>18764</v>
      </c>
      <c r="H24" s="536">
        <f>SUM(H19:H23)</f>
        <v>15797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967</v>
      </c>
      <c r="D25" s="40">
        <v>471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11793</v>
      </c>
      <c r="D26" s="43">
        <f>SUM(D22:D25)</f>
        <v>8071.962579999999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41103.68898</v>
      </c>
      <c r="D28" s="44">
        <f>D26+D19</f>
        <v>26985.223349999997</v>
      </c>
      <c r="E28" s="121" t="s">
        <v>338</v>
      </c>
      <c r="F28" s="542" t="s">
        <v>339</v>
      </c>
      <c r="G28" s="536">
        <f>G13+G15+G24</f>
        <v>42056</v>
      </c>
      <c r="H28" s="536">
        <f>H13+H15+H24</f>
        <v>27541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952.311020000001</v>
      </c>
      <c r="D30" s="44">
        <f>IF((H28-D28)&gt;0,H28-D28,0)</f>
        <v>555.7766500000034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41103.68898</v>
      </c>
      <c r="D33" s="43">
        <f>D28+D31+D32</f>
        <v>26985.223349999997</v>
      </c>
      <c r="E33" s="121" t="s">
        <v>352</v>
      </c>
      <c r="F33" s="542" t="s">
        <v>353</v>
      </c>
      <c r="G33" s="47">
        <f>G32+G31+G28</f>
        <v>42056</v>
      </c>
      <c r="H33" s="47">
        <f>H32+H31+H28</f>
        <v>27541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952.311020000001</v>
      </c>
      <c r="D34" s="44">
        <f>IF((H33-D33)&gt;0,H33-D33,0)</f>
        <v>555.7766500000034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39</v>
      </c>
      <c r="D35" s="43">
        <f>D36+D37+D38</f>
        <v>36.63470100000009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>
        <v>57</v>
      </c>
      <c r="D36" s="40">
        <v>38.6226530000001</v>
      </c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-18</v>
      </c>
      <c r="D37" s="424">
        <v>-1.9879520000000048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913.311020000001</v>
      </c>
      <c r="D39" s="450">
        <f>+IF((H33-D33-D35)&gt;0,H33-D33-D35,0)</f>
        <v>519.1419490000034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913.311020000001</v>
      </c>
      <c r="D41" s="46">
        <f>IF(H39=0,IF(D39-D40&gt;0,D39-D40+H40,0),IF(H39-H40&lt;0,H40-H39+D39,0))</f>
        <v>519.1419490000034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42056</v>
      </c>
      <c r="D42" s="47">
        <f>D33+D35+D39</f>
        <v>27541</v>
      </c>
      <c r="E42" s="122" t="s">
        <v>379</v>
      </c>
      <c r="F42" s="123" t="s">
        <v>380</v>
      </c>
      <c r="G42" s="47">
        <f>G39+G33</f>
        <v>42056</v>
      </c>
      <c r="H42" s="47">
        <f>H39+H33</f>
        <v>27541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74" t="s">
        <v>861</v>
      </c>
      <c r="B45" s="574"/>
      <c r="C45" s="574"/>
      <c r="D45" s="574"/>
      <c r="E45" s="574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39871</v>
      </c>
      <c r="C48" s="421" t="s">
        <v>381</v>
      </c>
      <c r="D48" s="584"/>
      <c r="E48" s="584"/>
      <c r="F48" s="584"/>
      <c r="G48" s="584"/>
      <c r="H48" s="584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5"/>
      <c r="E50" s="585"/>
      <c r="F50" s="585"/>
      <c r="G50" s="585"/>
      <c r="H50" s="585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38" sqref="C38"/>
    </sheetView>
  </sheetViews>
  <sheetFormatPr defaultColWidth="9.00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39813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165</v>
      </c>
      <c r="D10" s="48">
        <v>403</v>
      </c>
      <c r="E10" s="124"/>
      <c r="F10" s="124"/>
    </row>
    <row r="11" spans="1:13" ht="12">
      <c r="A11" s="326" t="s">
        <v>388</v>
      </c>
      <c r="B11" s="327" t="s">
        <v>389</v>
      </c>
      <c r="C11" s="48"/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-45270</v>
      </c>
      <c r="D12" s="48">
        <v>-44906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-10129</v>
      </c>
      <c r="D13" s="48">
        <v>-5626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980</v>
      </c>
      <c r="D14" s="48"/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40775</v>
      </c>
      <c r="D16" s="48">
        <v>25126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-923</v>
      </c>
      <c r="D17" s="48">
        <v>-658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-14</v>
      </c>
      <c r="D18" s="48">
        <v>-7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-11340</v>
      </c>
      <c r="D19" s="48">
        <v>-6647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-25756</v>
      </c>
      <c r="D20" s="49">
        <f>SUM(D10:D19)</f>
        <v>-32315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-384</v>
      </c>
      <c r="D22" s="48">
        <v>-440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>
        <v>7</v>
      </c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>
        <v>118</v>
      </c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>
        <v>11</v>
      </c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>
        <v>8842</v>
      </c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8465</v>
      </c>
      <c r="D32" s="49">
        <f>SUM(D22:D31)</f>
        <v>-311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16</v>
      </c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124957</v>
      </c>
      <c r="D36" s="48">
        <v>63765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-87182</v>
      </c>
      <c r="D37" s="48">
        <v>-36303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-15</v>
      </c>
      <c r="E38" s="124"/>
      <c r="F38" s="124"/>
    </row>
    <row r="39" spans="1:6" ht="12">
      <c r="A39" s="326" t="s">
        <v>441</v>
      </c>
      <c r="B39" s="327" t="s">
        <v>442</v>
      </c>
      <c r="C39" s="48">
        <v>-11470</v>
      </c>
      <c r="D39" s="48">
        <v>-7267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-401</v>
      </c>
      <c r="D41" s="48">
        <v>9000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25904</v>
      </c>
      <c r="D42" s="49">
        <f>SUM(D34:D41)</f>
        <v>29196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8613</v>
      </c>
      <c r="D43" s="49">
        <f>D42+D32+D20</f>
        <v>-3430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1007.27873</v>
      </c>
      <c r="D44" s="126">
        <v>5018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9620.27873</v>
      </c>
      <c r="D45" s="49">
        <f>D44+D43</f>
        <v>1588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№1-БАЛАНС'!C88+'справка №1-БАЛАНС'!C87</f>
        <v>9620</v>
      </c>
      <c r="D46" s="50">
        <v>1007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>
        <f>+'справка №1-БАЛАНС'!C89</f>
        <v>0</v>
      </c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39871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75"/>
      <c r="D50" s="576"/>
      <c r="G50" s="127"/>
      <c r="H50" s="127"/>
    </row>
    <row r="51" spans="1:8" ht="12">
      <c r="A51" s="312"/>
      <c r="B51" s="312"/>
      <c r="C51" s="313"/>
      <c r="D51" s="313"/>
      <c r="G51" s="127"/>
      <c r="H51" s="127"/>
    </row>
    <row r="52" spans="1:8" ht="12">
      <c r="A52" s="312"/>
      <c r="B52" s="429" t="s">
        <v>781</v>
      </c>
      <c r="C52" s="576"/>
      <c r="D52" s="576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87" t="s">
        <v>459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89" t="str">
        <f>'справка №1-БАЛАНС'!E3</f>
        <v>Ти Би Ай Кредит ЕАД</v>
      </c>
      <c r="C3" s="589"/>
      <c r="D3" s="589"/>
      <c r="E3" s="589"/>
      <c r="F3" s="589"/>
      <c r="G3" s="589"/>
      <c r="H3" s="589"/>
      <c r="I3" s="589"/>
      <c r="J3" s="466"/>
      <c r="K3" s="591" t="s">
        <v>2</v>
      </c>
      <c r="L3" s="591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0"/>
      <c r="K4" s="592" t="s">
        <v>3</v>
      </c>
      <c r="L4" s="592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3">
        <f>'справка №1-БАЛАНС'!E5</f>
        <v>39813</v>
      </c>
      <c r="C5" s="593"/>
      <c r="D5" s="593"/>
      <c r="E5" s="593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15700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567</v>
      </c>
      <c r="G11" s="52">
        <f>'справка №1-БАЛАНС'!H23</f>
        <v>0</v>
      </c>
      <c r="H11" s="54"/>
      <c r="I11" s="52">
        <f>'справка №1-БАЛАНС'!H28+'справка №1-БАЛАНС'!H31</f>
        <v>679.5595890000045</v>
      </c>
      <c r="J11" s="52">
        <f>'справка №1-БАЛАНС'!H29+'справка №1-БАЛАНС'!H32</f>
        <v>0</v>
      </c>
      <c r="K11" s="54"/>
      <c r="L11" s="338">
        <f>SUM(C11:K11)</f>
        <v>16946.559589000004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15700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567</v>
      </c>
      <c r="G15" s="55">
        <f t="shared" si="2"/>
        <v>0</v>
      </c>
      <c r="H15" s="55">
        <f t="shared" si="2"/>
        <v>0</v>
      </c>
      <c r="I15" s="55">
        <f t="shared" si="2"/>
        <v>679.5595890000045</v>
      </c>
      <c r="J15" s="55">
        <f t="shared" si="2"/>
        <v>0</v>
      </c>
      <c r="K15" s="55">
        <f t="shared" si="2"/>
        <v>0</v>
      </c>
      <c r="L15" s="338">
        <f t="shared" si="1"/>
        <v>16946.559589000004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913.311020000001</v>
      </c>
      <c r="J16" s="339">
        <f>+'справка №1-БАЛАНС'!G32</f>
        <v>0</v>
      </c>
      <c r="K16" s="54"/>
      <c r="L16" s="338">
        <f t="shared" si="1"/>
        <v>913.311020000001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458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61</v>
      </c>
      <c r="G17" s="56">
        <f t="shared" si="3"/>
        <v>0</v>
      </c>
      <c r="H17" s="56">
        <f t="shared" si="3"/>
        <v>0</v>
      </c>
      <c r="I17" s="56">
        <f t="shared" si="3"/>
        <v>-519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>
        <v>458</v>
      </c>
      <c r="D19" s="54"/>
      <c r="E19" s="54"/>
      <c r="F19" s="54">
        <v>61</v>
      </c>
      <c r="G19" s="54"/>
      <c r="H19" s="54"/>
      <c r="I19" s="54">
        <f>-61-458</f>
        <v>-519</v>
      </c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>
        <v>8842</v>
      </c>
      <c r="D28" s="54"/>
      <c r="E28" s="54"/>
      <c r="F28" s="54"/>
      <c r="G28" s="54"/>
      <c r="H28" s="54"/>
      <c r="I28" s="54"/>
      <c r="J28" s="54"/>
      <c r="K28" s="54"/>
      <c r="L28" s="338">
        <f t="shared" si="1"/>
        <v>8842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25000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628</v>
      </c>
      <c r="G29" s="53">
        <f t="shared" si="6"/>
        <v>0</v>
      </c>
      <c r="H29" s="53">
        <f t="shared" si="6"/>
        <v>0</v>
      </c>
      <c r="I29" s="53">
        <f t="shared" si="6"/>
        <v>1073.8706090000055</v>
      </c>
      <c r="J29" s="53">
        <f t="shared" si="6"/>
        <v>0</v>
      </c>
      <c r="K29" s="53">
        <f t="shared" si="6"/>
        <v>0</v>
      </c>
      <c r="L29" s="338">
        <f t="shared" si="1"/>
        <v>26701.870609000005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25000</v>
      </c>
      <c r="D32" s="53">
        <f t="shared" si="7"/>
        <v>0</v>
      </c>
      <c r="E32" s="53">
        <f t="shared" si="7"/>
        <v>0</v>
      </c>
      <c r="F32" s="53">
        <f t="shared" si="7"/>
        <v>628</v>
      </c>
      <c r="G32" s="53">
        <f t="shared" si="7"/>
        <v>0</v>
      </c>
      <c r="H32" s="53">
        <f t="shared" si="7"/>
        <v>0</v>
      </c>
      <c r="I32" s="53">
        <f t="shared" si="7"/>
        <v>1073.8706090000055</v>
      </c>
      <c r="J32" s="53">
        <f t="shared" si="7"/>
        <v>0</v>
      </c>
      <c r="K32" s="53">
        <f t="shared" si="7"/>
        <v>0</v>
      </c>
      <c r="L32" s="338">
        <f t="shared" si="1"/>
        <v>26701.870609000005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v>39871</v>
      </c>
      <c r="B38" s="19"/>
      <c r="C38" s="15"/>
      <c r="D38" s="588" t="s">
        <v>521</v>
      </c>
      <c r="E38" s="588"/>
      <c r="F38" s="588"/>
      <c r="G38" s="588"/>
      <c r="H38" s="588"/>
      <c r="I38" s="588"/>
      <c r="J38" s="15" t="s">
        <v>857</v>
      </c>
      <c r="K38" s="15"/>
      <c r="L38" s="588"/>
      <c r="M38" s="588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47" sqref="A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6" t="s">
        <v>383</v>
      </c>
      <c r="B2" s="607"/>
      <c r="C2" s="608" t="str">
        <f>'справка №1-БАЛАНС'!E3</f>
        <v>Ти Би Ай Кредит ЕАД</v>
      </c>
      <c r="D2" s="608"/>
      <c r="E2" s="608"/>
      <c r="F2" s="608"/>
      <c r="G2" s="608"/>
      <c r="H2" s="608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6" t="s">
        <v>4</v>
      </c>
      <c r="B3" s="607"/>
      <c r="C3" s="609">
        <f>'справка №1-БАЛАНС'!E5</f>
        <v>39813</v>
      </c>
      <c r="D3" s="609"/>
      <c r="E3" s="609"/>
      <c r="F3" s="475"/>
      <c r="G3" s="475"/>
      <c r="H3" s="475"/>
      <c r="I3" s="475"/>
      <c r="J3" s="475"/>
      <c r="K3" s="475"/>
      <c r="L3" s="475"/>
      <c r="M3" s="598" t="s">
        <v>3</v>
      </c>
      <c r="N3" s="598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599" t="s">
        <v>463</v>
      </c>
      <c r="B5" s="600"/>
      <c r="C5" s="603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59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596" t="s">
        <v>529</v>
      </c>
      <c r="R5" s="596" t="s">
        <v>530</v>
      </c>
    </row>
    <row r="6" spans="1:18" s="94" customFormat="1" ht="48">
      <c r="A6" s="601"/>
      <c r="B6" s="602"/>
      <c r="C6" s="604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59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597"/>
      <c r="R6" s="59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469</v>
      </c>
      <c r="E11" s="183">
        <v>36</v>
      </c>
      <c r="F11" s="183"/>
      <c r="G11" s="68">
        <f t="shared" si="2"/>
        <v>505</v>
      </c>
      <c r="H11" s="59"/>
      <c r="I11" s="59"/>
      <c r="J11" s="68">
        <f t="shared" si="3"/>
        <v>505</v>
      </c>
      <c r="K11" s="59">
        <v>276</v>
      </c>
      <c r="L11" s="59">
        <v>128</v>
      </c>
      <c r="M11" s="59"/>
      <c r="N11" s="68">
        <f t="shared" si="4"/>
        <v>404</v>
      </c>
      <c r="O11" s="59"/>
      <c r="P11" s="59"/>
      <c r="Q11" s="68">
        <f t="shared" si="0"/>
        <v>404</v>
      </c>
      <c r="R11" s="68">
        <f t="shared" si="1"/>
        <v>101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f>+'[2]справка №5'!$G$13</f>
        <v>244</v>
      </c>
      <c r="E13" s="183"/>
      <c r="F13" s="183">
        <v>29</v>
      </c>
      <c r="G13" s="68">
        <f t="shared" si="2"/>
        <v>215</v>
      </c>
      <c r="H13" s="59"/>
      <c r="I13" s="59"/>
      <c r="J13" s="68">
        <f t="shared" si="3"/>
        <v>215</v>
      </c>
      <c r="K13" s="59">
        <v>205</v>
      </c>
      <c r="L13" s="59">
        <v>24</v>
      </c>
      <c r="M13" s="59">
        <v>23</v>
      </c>
      <c r="N13" s="68">
        <f t="shared" si="4"/>
        <v>206</v>
      </c>
      <c r="O13" s="59"/>
      <c r="P13" s="59"/>
      <c r="Q13" s="68">
        <f t="shared" si="0"/>
        <v>206</v>
      </c>
      <c r="R13" s="68">
        <f t="shared" si="1"/>
        <v>9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233</v>
      </c>
      <c r="E14" s="183">
        <v>138</v>
      </c>
      <c r="F14" s="183"/>
      <c r="G14" s="68">
        <f t="shared" si="2"/>
        <v>371</v>
      </c>
      <c r="H14" s="59"/>
      <c r="I14" s="59"/>
      <c r="J14" s="68">
        <f t="shared" si="3"/>
        <v>371</v>
      </c>
      <c r="K14" s="59">
        <v>76</v>
      </c>
      <c r="L14" s="59">
        <v>41</v>
      </c>
      <c r="M14" s="59"/>
      <c r="N14" s="68">
        <f t="shared" si="4"/>
        <v>117</v>
      </c>
      <c r="O14" s="59"/>
      <c r="P14" s="59"/>
      <c r="Q14" s="68">
        <f t="shared" si="0"/>
        <v>117</v>
      </c>
      <c r="R14" s="68">
        <f t="shared" si="1"/>
        <v>254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946</v>
      </c>
      <c r="E17" s="188">
        <f>SUM(E9:E16)</f>
        <v>174</v>
      </c>
      <c r="F17" s="188">
        <f>SUM(F9:F16)</f>
        <v>29</v>
      </c>
      <c r="G17" s="68">
        <f t="shared" si="2"/>
        <v>1091</v>
      </c>
      <c r="H17" s="69">
        <f>SUM(H9:H16)</f>
        <v>0</v>
      </c>
      <c r="I17" s="69">
        <f>SUM(I9:I16)</f>
        <v>0</v>
      </c>
      <c r="J17" s="68">
        <f t="shared" si="3"/>
        <v>1091</v>
      </c>
      <c r="K17" s="69">
        <f>SUM(K9:K16)</f>
        <v>557</v>
      </c>
      <c r="L17" s="69">
        <f>SUM(L9:L16)</f>
        <v>193</v>
      </c>
      <c r="M17" s="69">
        <f>SUM(M9:M16)</f>
        <v>23</v>
      </c>
      <c r="N17" s="68">
        <f t="shared" si="4"/>
        <v>727</v>
      </c>
      <c r="O17" s="69">
        <f>SUM(O9:O16)</f>
        <v>0</v>
      </c>
      <c r="P17" s="69">
        <f>SUM(P9:P16)</f>
        <v>0</v>
      </c>
      <c r="Q17" s="68">
        <f t="shared" si="5"/>
        <v>727</v>
      </c>
      <c r="R17" s="68">
        <f t="shared" si="6"/>
        <v>364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f>+'[2]справка №5'!$G$21</f>
        <v>30</v>
      </c>
      <c r="E21" s="183"/>
      <c r="F21" s="183"/>
      <c r="G21" s="68">
        <f t="shared" si="2"/>
        <v>30</v>
      </c>
      <c r="H21" s="59"/>
      <c r="I21" s="59"/>
      <c r="J21" s="68">
        <f t="shared" si="3"/>
        <v>30</v>
      </c>
      <c r="K21" s="59">
        <v>14</v>
      </c>
      <c r="L21" s="59">
        <v>3</v>
      </c>
      <c r="M21" s="59"/>
      <c r="N21" s="68">
        <f t="shared" si="4"/>
        <v>17</v>
      </c>
      <c r="O21" s="59"/>
      <c r="P21" s="59"/>
      <c r="Q21" s="68">
        <f t="shared" si="5"/>
        <v>17</v>
      </c>
      <c r="R21" s="68">
        <f t="shared" si="6"/>
        <v>13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638</v>
      </c>
      <c r="E22" s="183">
        <v>123</v>
      </c>
      <c r="F22" s="183"/>
      <c r="G22" s="68">
        <f t="shared" si="2"/>
        <v>761</v>
      </c>
      <c r="H22" s="59"/>
      <c r="I22" s="59"/>
      <c r="J22" s="68">
        <f t="shared" si="3"/>
        <v>761</v>
      </c>
      <c r="K22" s="59">
        <v>435</v>
      </c>
      <c r="L22" s="59">
        <v>196</v>
      </c>
      <c r="M22" s="59"/>
      <c r="N22" s="68">
        <f t="shared" si="4"/>
        <v>631</v>
      </c>
      <c r="O22" s="59"/>
      <c r="P22" s="59"/>
      <c r="Q22" s="68">
        <f t="shared" si="5"/>
        <v>631</v>
      </c>
      <c r="R22" s="68">
        <f t="shared" si="6"/>
        <v>130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f>+'[2]справка №5'!$G$24</f>
        <v>177</v>
      </c>
      <c r="E24" s="183">
        <f>30+57</f>
        <v>87</v>
      </c>
      <c r="F24" s="183"/>
      <c r="G24" s="68">
        <f t="shared" si="2"/>
        <v>264</v>
      </c>
      <c r="H24" s="59"/>
      <c r="I24" s="59"/>
      <c r="J24" s="68">
        <f t="shared" si="3"/>
        <v>264</v>
      </c>
      <c r="K24" s="59">
        <v>41</v>
      </c>
      <c r="L24" s="59">
        <v>28</v>
      </c>
      <c r="M24" s="59"/>
      <c r="N24" s="68">
        <f t="shared" si="4"/>
        <v>69</v>
      </c>
      <c r="O24" s="59"/>
      <c r="P24" s="59"/>
      <c r="Q24" s="68">
        <f t="shared" si="5"/>
        <v>69</v>
      </c>
      <c r="R24" s="68">
        <f t="shared" si="6"/>
        <v>195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845</v>
      </c>
      <c r="E25" s="184">
        <f aca="true" t="shared" si="7" ref="E25:P25">SUM(E21:E24)</f>
        <v>210</v>
      </c>
      <c r="F25" s="184">
        <f t="shared" si="7"/>
        <v>0</v>
      </c>
      <c r="G25" s="61">
        <f t="shared" si="2"/>
        <v>1055</v>
      </c>
      <c r="H25" s="60">
        <f t="shared" si="7"/>
        <v>0</v>
      </c>
      <c r="I25" s="60">
        <f t="shared" si="7"/>
        <v>0</v>
      </c>
      <c r="J25" s="61">
        <f t="shared" si="3"/>
        <v>1055</v>
      </c>
      <c r="K25" s="60">
        <f t="shared" si="7"/>
        <v>490</v>
      </c>
      <c r="L25" s="60">
        <f t="shared" si="7"/>
        <v>227</v>
      </c>
      <c r="M25" s="60">
        <f t="shared" si="7"/>
        <v>0</v>
      </c>
      <c r="N25" s="61">
        <f t="shared" si="4"/>
        <v>717</v>
      </c>
      <c r="O25" s="60">
        <f t="shared" si="7"/>
        <v>0</v>
      </c>
      <c r="P25" s="60">
        <f t="shared" si="7"/>
        <v>0</v>
      </c>
      <c r="Q25" s="61">
        <f t="shared" si="5"/>
        <v>717</v>
      </c>
      <c r="R25" s="61">
        <f t="shared" si="6"/>
        <v>338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1791</v>
      </c>
      <c r="E40" s="431">
        <f>E17+E18+E19+E25+E38+E39</f>
        <v>384</v>
      </c>
      <c r="F40" s="431">
        <f aca="true" t="shared" si="13" ref="F40:R40">F17+F18+F19+F25+F38+F39</f>
        <v>29</v>
      </c>
      <c r="G40" s="431">
        <f t="shared" si="13"/>
        <v>2146</v>
      </c>
      <c r="H40" s="431">
        <f t="shared" si="13"/>
        <v>0</v>
      </c>
      <c r="I40" s="431">
        <f t="shared" si="13"/>
        <v>0</v>
      </c>
      <c r="J40" s="431">
        <f t="shared" si="13"/>
        <v>2146</v>
      </c>
      <c r="K40" s="431">
        <f t="shared" si="13"/>
        <v>1047</v>
      </c>
      <c r="L40" s="431">
        <f t="shared" si="13"/>
        <v>420</v>
      </c>
      <c r="M40" s="431">
        <f t="shared" si="13"/>
        <v>23</v>
      </c>
      <c r="N40" s="431">
        <f t="shared" si="13"/>
        <v>1444</v>
      </c>
      <c r="O40" s="431">
        <f t="shared" si="13"/>
        <v>0</v>
      </c>
      <c r="P40" s="431">
        <f t="shared" si="13"/>
        <v>0</v>
      </c>
      <c r="Q40" s="431">
        <f t="shared" si="13"/>
        <v>1444</v>
      </c>
      <c r="R40" s="431">
        <f t="shared" si="13"/>
        <v>702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39871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605"/>
      <c r="L44" s="605"/>
      <c r="M44" s="605"/>
      <c r="N44" s="605"/>
      <c r="O44" s="594" t="s">
        <v>781</v>
      </c>
      <c r="P44" s="595"/>
      <c r="Q44" s="595"/>
      <c r="R44" s="595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17" t="str">
        <f>'справка №1-БАЛАНС'!E3</f>
        <v>Ти Би Ай Кредит ЕАД</v>
      </c>
      <c r="C3" s="618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4">
        <f>'справка №1-БАЛАНС'!E5</f>
        <v>39813</v>
      </c>
      <c r="C4" s="615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24087</v>
      </c>
      <c r="D15" s="102"/>
      <c r="E15" s="114">
        <f t="shared" si="0"/>
        <v>24087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24087</v>
      </c>
      <c r="D19" s="98">
        <f>D11+D15+D16</f>
        <v>0</v>
      </c>
      <c r="E19" s="112">
        <f>E11+E15+E16</f>
        <v>24087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/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383</v>
      </c>
      <c r="D24" s="113">
        <f>SUM(D25:D27)</f>
        <v>383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197</v>
      </c>
      <c r="D25" s="102">
        <f aca="true" t="shared" si="1" ref="D25:D30">C25</f>
        <v>197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186</v>
      </c>
      <c r="D27" s="102">
        <f t="shared" si="1"/>
        <v>186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1426</v>
      </c>
      <c r="D28" s="102">
        <f t="shared" si="1"/>
        <v>1426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888</v>
      </c>
      <c r="D29" s="102">
        <f t="shared" si="1"/>
        <v>888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135123</v>
      </c>
      <c r="D30" s="102">
        <f t="shared" si="1"/>
        <v>135123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143</v>
      </c>
      <c r="D33" s="99">
        <f>SUM(D34:D37)</f>
        <v>143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>
        <f>+'справка №1-БАЛАНС'!C72</f>
        <v>143</v>
      </c>
      <c r="D34" s="102">
        <f>C34</f>
        <v>143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1068</v>
      </c>
      <c r="D38" s="99">
        <f>SUM(D39:D42)</f>
        <v>1068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>
        <v>18</v>
      </c>
      <c r="D40" s="102">
        <f>C40</f>
        <v>18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v>1050</v>
      </c>
      <c r="D42" s="102">
        <f>C42</f>
        <v>1050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139031</v>
      </c>
      <c r="D43" s="98">
        <f>D24+D28+D29+D31+D30+D32+D33+D38</f>
        <v>139031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163118</v>
      </c>
      <c r="D44" s="97">
        <f>D43+D21+D19+D9</f>
        <v>139031</v>
      </c>
      <c r="E44" s="112">
        <f>E43+E21+E19+E9</f>
        <v>24087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23645</v>
      </c>
      <c r="D52" s="97">
        <f>SUM(D53:D55)</f>
        <v>0</v>
      </c>
      <c r="E52" s="113">
        <f>C52-D52</f>
        <v>23645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23645</v>
      </c>
      <c r="D53" s="102">
        <v>0</v>
      </c>
      <c r="E53" s="113">
        <f>C53-D53</f>
        <v>23645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50888</v>
      </c>
      <c r="D56" s="97">
        <f>D57+D59</f>
        <v>0</v>
      </c>
      <c r="E56" s="113">
        <f t="shared" si="2"/>
        <v>50888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50888</v>
      </c>
      <c r="D57" s="102">
        <v>0</v>
      </c>
      <c r="E57" s="113">
        <f t="shared" si="2"/>
        <v>50888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26770</v>
      </c>
      <c r="D63" s="102"/>
      <c r="E63" s="113">
        <f t="shared" si="2"/>
        <v>26770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101303</v>
      </c>
      <c r="D66" s="97">
        <f>D52+D56+D61+D62+D63+D64</f>
        <v>0</v>
      </c>
      <c r="E66" s="113">
        <f t="shared" si="2"/>
        <v>101303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4904</v>
      </c>
      <c r="D71" s="99">
        <f>SUM(D72:D74)</f>
        <v>4904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483</v>
      </c>
      <c r="D72" s="102">
        <f>C72</f>
        <v>483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4421</v>
      </c>
      <c r="D74" s="102">
        <f>C74</f>
        <v>4421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28195</v>
      </c>
      <c r="D75" s="97">
        <f>D76+D78</f>
        <v>28195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28195</v>
      </c>
      <c r="D76" s="102">
        <f>C76</f>
        <v>28195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13705</v>
      </c>
      <c r="D80" s="97">
        <f>SUM(D81:D84)</f>
        <v>13705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13705</v>
      </c>
      <c r="D82" s="102">
        <f>C82</f>
        <v>13705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1665</v>
      </c>
      <c r="D85" s="98">
        <f>SUM(D86:D90)+D94</f>
        <v>1665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432</v>
      </c>
      <c r="D87" s="102">
        <f>C87</f>
        <v>432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886</v>
      </c>
      <c r="D89" s="102">
        <f>C89</f>
        <v>886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97</v>
      </c>
      <c r="D90" s="97">
        <f>SUM(D91:D93)</f>
        <v>97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23</v>
      </c>
      <c r="D92" s="102">
        <f>C92</f>
        <v>23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74</v>
      </c>
      <c r="D93" s="102">
        <f>C93</f>
        <v>74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250</v>
      </c>
      <c r="D94" s="102">
        <f>C94</f>
        <v>250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</v>
      </c>
      <c r="D95" s="102">
        <f>C95</f>
        <v>1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48470</v>
      </c>
      <c r="D96" s="98">
        <f>D85+D80+D75+D71+D95</f>
        <v>48470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149773</v>
      </c>
      <c r="D97" s="98">
        <f>D96+D68+D66</f>
        <v>48470</v>
      </c>
      <c r="E97" s="98">
        <f>E96+E68+E66</f>
        <v>101303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/>
      <c r="D104" s="102">
        <v>0</v>
      </c>
      <c r="E104" s="102"/>
      <c r="F104" s="119">
        <f>C104+D104-E104</f>
        <v>0</v>
      </c>
    </row>
    <row r="105" spans="1:16" ht="12">
      <c r="A105" s="406" t="s">
        <v>777</v>
      </c>
      <c r="B105" s="389" t="s">
        <v>778</v>
      </c>
      <c r="C105" s="97">
        <f>SUM(C102:C104)</f>
        <v>0</v>
      </c>
      <c r="D105" s="97">
        <f>SUM(D102:D104)</f>
        <v>0</v>
      </c>
      <c r="E105" s="97">
        <f>SUM(E102:E104)</f>
        <v>0</v>
      </c>
      <c r="F105" s="97">
        <f>SUM(F102:F104)</f>
        <v>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16">
        <f>+'справка №5'!B44</f>
        <v>39871</v>
      </c>
      <c r="B109" s="611"/>
      <c r="C109" s="611" t="s">
        <v>381</v>
      </c>
      <c r="D109" s="611"/>
      <c r="E109" s="611"/>
      <c r="F109" s="611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0" t="s">
        <v>781</v>
      </c>
      <c r="D111" s="610"/>
      <c r="E111" s="610"/>
      <c r="F111" s="610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41" sqref="C41"/>
    </sheetView>
  </sheetViews>
  <sheetFormatPr defaultColWidth="9.00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19" t="str">
        <f>'справка №1-БАЛАНС'!E3</f>
        <v>Ти Би Ай Кредит ЕАД</v>
      </c>
      <c r="C4" s="619"/>
      <c r="D4" s="619"/>
      <c r="E4" s="619"/>
      <c r="F4" s="619"/>
      <c r="G4" s="625" t="s">
        <v>2</v>
      </c>
      <c r="H4" s="625"/>
      <c r="I4" s="490">
        <f>'справка №1-БАЛАНС'!H3</f>
        <v>121554961</v>
      </c>
    </row>
    <row r="5" spans="1:9" ht="15">
      <c r="A5" s="491" t="s">
        <v>4</v>
      </c>
      <c r="B5" s="620">
        <f>'справка №1-БАЛАНС'!E5</f>
        <v>39813</v>
      </c>
      <c r="C5" s="620"/>
      <c r="D5" s="620"/>
      <c r="E5" s="620"/>
      <c r="F5" s="620"/>
      <c r="G5" s="623" t="s">
        <v>3</v>
      </c>
      <c r="H5" s="624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39871</v>
      </c>
      <c r="B30" s="622"/>
      <c r="C30" s="622"/>
      <c r="D30" s="449" t="s">
        <v>819</v>
      </c>
      <c r="E30" s="621"/>
      <c r="F30" s="621"/>
      <c r="G30" s="621"/>
      <c r="H30" s="414" t="s">
        <v>781</v>
      </c>
      <c r="I30" s="621"/>
      <c r="J30" s="621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F5" sqref="F5"/>
    </sheetView>
  </sheetViews>
  <sheetFormatPr defaultColWidth="9.00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26" t="str">
        <f>'справка №1-БАЛАНС'!E3</f>
        <v>Ти Би Ай Кредит ЕАД</v>
      </c>
      <c r="C3" s="626"/>
      <c r="D3" s="626"/>
      <c r="E3" s="558" t="s">
        <v>2</v>
      </c>
      <c r="F3" s="629">
        <f>'справка №1-БАЛАНС'!H3</f>
        <v>121554961</v>
      </c>
    </row>
    <row r="4" spans="1:13" ht="15" customHeight="1">
      <c r="A4" s="25" t="s">
        <v>867</v>
      </c>
      <c r="B4" s="627">
        <f>'справка №1-БАЛАНС'!E5</f>
        <v>39813</v>
      </c>
      <c r="C4" s="627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630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39871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28" t="s">
        <v>848</v>
      </c>
      <c r="D150" s="628"/>
      <c r="E150" s="628"/>
      <c r="F150" s="628"/>
    </row>
    <row r="151" spans="3:5" ht="12.75">
      <c r="C151" s="505"/>
      <c r="E151" s="505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2008-03-26T09:53:05Z</cp:lastPrinted>
  <dcterms:created xsi:type="dcterms:W3CDTF">2000-06-29T12:02:40Z</dcterms:created>
  <dcterms:modified xsi:type="dcterms:W3CDTF">2009-03-14T08:08:14Z</dcterms:modified>
  <cp:category/>
  <cp:version/>
  <cp:contentType/>
  <cp:contentStatus/>
</cp:coreProperties>
</file>