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812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<sst xmlns="http://schemas.openxmlformats.org/spreadsheetml/2006/main" count="1049" uniqueCount="875">
  <si>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</si>
  <si>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</si>
  <si>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</si>
  <si>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</si>
  <si>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</si>
  <si>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</si>
  <si>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</si>
  <si>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</si>
  <si>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</si>
  <si>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</si>
  <si>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</si>
  <si>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</si>
  <si>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</si>
  <si>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</si>
  <si>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</si>
  <si>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</si>
  <si>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</si>
  <si>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</si>
  <si>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</si>
  <si>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</si>
  <si>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</si>
  <si>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</si>
  <si>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</si>
  <si>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</si>
  <si>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</si>
  <si>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</si>
  <si>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</si>
  <si>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</si>
  <si>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</si>
  <si>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</si>
  <si>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</si>
  <si>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</si>
  <si>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</si>
  <si>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</si>
  <si>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</si>
  <si>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</si>
  <si>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</si>
  <si>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</si>
  <si>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</si>
  <si>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</si>
  <si>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</si>
  <si>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</si>
  <si>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</si>
  <si>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</si>
  <si>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</si>
  <si>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</si>
  <si>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</si>
  <si>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</si>
  <si>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</si>
  <si>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</si>
  <si>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</si>
  <si>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</si>
  <si>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</si>
  <si>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</si>
  <si>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</si>
  <si>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</si>
  <si>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</si>
  <si>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</si>
  <si>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</si>
  <si>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</si>
  <si>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</si>
  <si>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</si>
  <si>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</si>
  <si>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</si>
  <si>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</si>
  <si>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</si>
  <si>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</si>
  <si>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</si>
  <si>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</si>
  <si>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</si>
  <si>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</si>
  <si>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</si>
  <si>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</si>
  <si>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</si>
  <si>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</si>
  <si>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</si>
  <si>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</si>
  <si>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</si>
  <si>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</si>
  <si>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</si>
  <si>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</si>
  <si>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</si>
  <si>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</si>
  <si>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</si>
  <si>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</si>
  <si>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</si>
  <si>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</si>
  <si>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</si>
  <si>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</si>
  <si>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</si>
  <si>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</si>
  <si>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</si>
  <si>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</si>
  <si>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</si>
  <si>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</si>
  <si>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</si>
  <si>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</si>
  <si>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</si>
  <si>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</si>
  <si>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</si>
  <si>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</si>
  <si>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</si>
  <si>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</si>
  <si>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</si>
  <si>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</si>
  <si>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</si>
  <si>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</si>
  <si>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</si>
  <si>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</si>
  <si>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</si>
  <si>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</si>
  <si>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</si>
  <si>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</si>
  <si>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</si>
  <si>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</si>
  <si>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</si>
  <si>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</si>
  <si>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</si>
  <si>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</si>
  <si>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</si>
  <si>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</si>
  <si>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</si>
  <si>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</si>
  <si>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</si>
  <si>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</si>
  <si>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</si>
  <si>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</si>
  <si>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</si>
  <si>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</si>
  <si>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</si>
  <si>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</si>
  <si>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</si>
  <si>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</si>
  <si>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</si>
  <si>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</si>
  <si>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</si>
  <si>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</si>
  <si>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</si>
  <si>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</si>
  <si>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</si>
  <si>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</si>
  <si>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</si>
  <si>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</si>
  <si>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</si>
  <si>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</si>
  <si>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</si>
  <si>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</si>
  <si>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</si>
  <si>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</si>
  <si>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</si>
  <si>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</si>
  <si>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</si>
  <si>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</si>
  <si>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</si>
  <si>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</si>
  <si>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</si>
  <si>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</si>
  <si>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</si>
  <si>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</si>
  <si>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</si>
  <si>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</si>
  <si>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</si>
  <si>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</si>
  <si>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</si>
  <si>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</si>
  <si>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</si>
  <si>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</si>
  <si>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</si>
  <si>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</si>
  <si>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</si>
  <si>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</si>
  <si>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</si>
  <si>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</si>
  <si>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</si>
  <si>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</si>
  <si>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</si>
  <si>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</si>
  <si>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</si>
  <si>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</si>
  <si>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</si>
  <si>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</si>
  <si>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</si>
  <si>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</si>
  <si>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</si>
  <si>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</si>
  <si>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</si>
  <si>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</si>
  <si>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</si>
  <si>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</si>
  <si>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</si>
  <si>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</si>
  <si>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</si>
  <si>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</si>
  <si>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</si>
  <si>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</si>
  <si>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</si>
  <si>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</si>
  <si>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</si>
  <si>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</si>
  <si>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</si>
  <si>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</si>
  <si>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</si>
  <si>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</si>
  <si>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</si>
  <si>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</si>
  <si>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</si>
  <si>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</si>
  <si>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</si>
  <si>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</si>
  <si>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</si>
  <si>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</si>
  <si>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</si>
  <si>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</si>
  <si>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</si>
  <si>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</si>
  <si>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</si>
  <si>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</si>
  <si>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</si>
  <si>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</si>
  <si>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</si>
  <si>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</si>
  <si>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</si>
  <si>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</si>
  <si>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</si>
  <si>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</si>
  <si>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</si>
  <si>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</si>
  <si>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</si>
  <si>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</si>
  <si>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</si>
  <si>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</si>
  <si>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</si>
  <si>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</si>
  <si>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</si>
  <si>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</si>
  <si>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</si>
  <si>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</si>
  <si>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</si>
  <si>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</si>
  <si>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</si>
  <si>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</si>
  <si>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</si>
  <si>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</si>
  <si>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</si>
  <si>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</si>
  <si>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</si>
  <si>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</si>
  <si>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</si>
  <si>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</si>
  <si>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</si>
  <si>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</si>
  <si>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</si>
  <si>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</si>
  <si>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</si>
  <si>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</si>
  <si>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</si>
  <si>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</si>
  <si>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</si>
  <si>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</si>
  <si>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</si>
  <si>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</si>
  <si>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</si>
  <si>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</si>
  <si>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</si>
  <si>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</si>
  <si>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</si>
  <si>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</si>
  <si>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</si>
  <si>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</si>
  <si>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</si>
  <si>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</si>
  <si>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</si>
  <si>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</si>
  <si>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</si>
  <si>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</si>
  <si>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</si>
  <si>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</si>
  <si>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</si>
  <si>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</si>
  <si>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</si>
  <si>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</si>
  <si>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</si>
  <si>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</si>
  <si>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</si>
  <si>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</si>
  <si>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</si>
  <si>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</si>
  <si>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</si>
  <si>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</si>
  <si>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</si>
  <si>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</si>
  <si>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</si>
  <si>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</si>
  <si>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</si>
  <si>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</si>
  <si>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</si>
  <si>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</si>
  <si>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</si>
  <si>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</si>
  <si>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</si>
  <si>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</si>
  <si>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</si>
  <si>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</si>
  <si>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</si>
  <si>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</si>
  <si>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</si>
  <si>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</si>
  <si>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</si>
  <si>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</si>
  <si>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</si>
  <si>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</si>
  <si>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</si>
  <si>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</si>
  <si>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</si>
  <si>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</si>
  <si>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</si>
  <si>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</si>
  <si>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</si>
  <si>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</si>
  <si>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</si>
  <si>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</si>
  <si>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</si>
  <si>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</si>
  <si>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</si>
  <si>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</si>
  <si>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</si>
  <si>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</si>
  <si>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</si>
  <si>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</si>
  <si>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</si>
  <si>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</si>
  <si>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</si>
  <si>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</si>
  <si>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</si>
  <si>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</si>
  <si>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</si>
  <si>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</si>
  <si>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</si>
  <si>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</si>
  <si>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</si>
  <si>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</si>
  <si>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</si>
  <si>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</si>
  <si>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</si>
  <si>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</si>
  <si>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</si>
  <si>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</si>
  <si>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</si>
  <si>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</si>
  <si>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</si>
  <si>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</si>
  <si>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</si>
  <si>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</si>
  <si>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</si>
  <si>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</si>
  <si>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</si>
  <si>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</si>
  <si>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</si>
  <si>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</si>
  <si>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</si>
  <si>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</si>
  <si>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</si>
  <si>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</si>
  <si>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</si>
  <si>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</si>
  <si>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</si>
  <si>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</si>
  <si>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</si>
  <si>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</si>
  <si>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</si>
  <si>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</si>
  <si>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</si>
  <si>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</si>
  <si>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</si>
  <si>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</si>
  <si>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</si>
  <si>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</si>
  <si>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</si>
  <si>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</si>
  <si>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</si>
  <si>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</si>
  <si>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</si>
  <si>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</si>
  <si>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</si>
  <si>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</si>
  <si>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</si>
  <si>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</si>
  <si>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</si>
  <si>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</si>
  <si>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</si>
  <si>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</si>
  <si>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</si>
  <si>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</si>
  <si>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</si>
  <si>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</si>
  <si>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</si>
  <si>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</si>
  <si>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</si>
  <si>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</si>
  <si>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</si>
  <si>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</si>
  <si>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</si>
  <si>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</si>
  <si>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</si>
  <si>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</si>
  <si>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</si>
  <si>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</si>
  <si>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</si>
  <si>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</si>
  <si>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</si>
  <si>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</si>
  <si>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</si>
  <si>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</si>
  <si>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</si>
  <si>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</si>
  <si>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</si>
  <si>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</si>
  <si>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</si>
  <si>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</si>
  <si>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</si>
  <si>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</si>
  <si>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</si>
  <si>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</si>
  <si>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</si>
  <si>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</si>
  <si>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</si>
  <si>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</si>
  <si>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</si>
  <si>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</si>
  <si>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</si>
  <si>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</si>
  <si>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</si>
  <si>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</si>
  <si>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</si>
  <si>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</si>
  <si>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</si>
  <si>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</si>
  <si>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</si>
  <si>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</si>
  <si>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</si>
  <si>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</si>
  <si>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</si>
  <si>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</si>
  <si>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</si>
  <si>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</si>
  <si>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</si>
  <si>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</si>
  <si>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</si>
  <si>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</si>
  <si>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</si>
  <si>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</si>
  <si>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</si>
  <si>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</si>
  <si>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</si>
  <si>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</si>
  <si>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</si>
  <si>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</si>
  <si>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</si>
  <si>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</si>
  <si>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</si>
  <si>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</si>
  <si>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</si>
  <si>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</si>
  <si>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</si>
  <si>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</si>
  <si>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</si>
  <si>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</si>
  <si>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</si>
  <si>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</si>
  <si>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</si>
  <si>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</si>
  <si>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</si>
  <si>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</si>
  <si>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</si>
  <si>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</si>
  <si>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</si>
  <si>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</si>
  <si>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</si>
  <si>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</si>
  <si>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</si>
  <si>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</si>
  <si>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</si>
  <si>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</si>
  <si>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</si>
  <si>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</si>
  <si>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</si>
  <si>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</si>
  <si>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</si>
  <si>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</si>
  <si>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</si>
  <si>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</si>
  <si>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</si>
  <si>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</si>
  <si>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</si>
  <si>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</si>
  <si>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</si>
  <si>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</si>
  <si>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</si>
  <si>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</si>
  <si>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</si>
  <si>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</si>
  <si>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</si>
  <si>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</si>
  <si>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</si>
  <si>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</si>
  <si>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</si>
  <si>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</si>
  <si>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</si>
  <si>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</si>
  <si>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</si>
  <si>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</si>
  <si>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</si>
  <si>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</si>
  <si>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</si>
  <si>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</si>
  <si>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</si>
  <si>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</si>
  <si>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</si>
  <si>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</si>
  <si>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</si>
  <si>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</si>
  <si>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</si>
  <si>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</si>
  <si>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</si>
  <si>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</si>
  <si>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</si>
  <si>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</si>
  <si>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</si>
  <si>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</si>
  <si>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</si>
  <si>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</si>
  <si>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</si>
  <si>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</si>
  <si>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</si>
  <si>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</si>
  <si>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</si>
  <si>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</si>
  <si>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</si>
  <si>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</si>
  <si>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</si>
  <si>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</si>
  <si>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</si>
  <si>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</si>
  <si>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</si>
  <si>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</si>
  <si>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</si>
  <si>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</si>
  <si>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</si>
  <si>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</si>
  <si>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</si>
  <si>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</si>
  <si>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</si>
  <si>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</si>
  <si>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</si>
  <si>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</si>
  <si>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</si>
  <si>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</si>
  <si>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</si>
  <si>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</si>
  <si>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</si>
  <si>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</si>
  <si>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</si>
  <si>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</si>
  <si>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</si>
  <si>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</si>
  <si>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</si>
  <si>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</si>
  <si>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</si>
  <si>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</si>
  <si>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</si>
  <si>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</si>
  <si>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</si>
  <si>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</si>
  <si>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</si>
  <si>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</si>
  <si>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</si>
  <si>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</si>
  <si>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</si>
  <si>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</si>
  <si>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</si>
  <si>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</si>
  <si>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</si>
  <si>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</si>
  <si>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</si>
  <si>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</si>
  <si>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</si>
  <si>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</si>
  <si>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</si>
  <si>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</si>
  <si>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</si>
  <si>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</si>
  <si>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</si>
  <si>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</si>
  <si>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</si>
  <si>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</si>
  <si>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</si>
  <si>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</si>
  <si>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</si>
  <si>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</si>
  <si>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</si>
  <si>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</si>
  <si>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</si>
  <si>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</si>
  <si>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</si>
  <si>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</si>
  <si>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</si>
  <si>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</si>
  <si>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</si>
  <si>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</si>
  <si>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</si>
  <si>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</si>
  <si>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</si>
  <si>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</si>
  <si>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</si>
  <si>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</si>
  <si>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</si>
  <si>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</si>
  <si>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</si>
  <si>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</si>
  <si>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</si>
  <si>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</si>
  <si>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</si>
  <si>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</si>
  <si>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</si>
  <si>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</si>
  <si>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</si>
  <si>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</si>
  <si>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</si>
  <si>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</si>
  <si>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</si>
  <si>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</si>
  <si>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</si>
  <si>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</si>
  <si>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</si>
  <si>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</si>
  <si>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</si>
  <si>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</si>
  <si>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</si>
  <si>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</si>
  <si>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</si>
  <si>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</si>
  <si>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</si>
  <si>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</si>
  <si>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</si>
  <si>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</si>
  <si>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</si>
  <si>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</si>
  <si>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</si>
  <si>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</si>
  <si>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</si>
  <si>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</si>
  <si>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</si>
  <si>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</si>
  <si>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</si>
  <si>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</si>
  <si>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</si>
  <si>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</si>
  <si>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</si>
  <si>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</si>
  <si>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</si>
  <si>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</si>
  <si>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</si>
  <si>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</si>
  <si>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</si>
  <si>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</si>
  <si>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</si>
  <si>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</si>
  <si>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</si>
  <si>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</si>
  <si>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</si>
  <si>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</si>
  <si>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</si>
  <si>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</si>
  <si>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</si>
  <si>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</si>
  <si>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</si>
  <si>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</si>
  <si>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</si>
  <si>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</si>
  <si>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</si>
  <si>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</si>
  <si>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</si>
  <si>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</si>
  <si>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</si>
  <si>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</si>
  <si>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</si>
  <si>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</si>
  <si>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</si>
  <si>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</si>
  <si>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</si>
  <si>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</si>
  <si>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</si>
  <si>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</si>
  <si>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</si>
  <si>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</si>
  <si>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</si>
  <si>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</si>
  <si>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</si>
  <si>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</si>
  <si>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</si>
  <si>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</si>
  <si>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</si>
  <si>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</si>
  <si>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</si>
  <si>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</si>
  <si>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</si>
  <si>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</si>
  <si>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</si>
  <si>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</si>
  <si>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</si>
  <si>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</si>
  <si>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</si>
  <si>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</si>
  <si>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</si>
  <si>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</si>
  <si>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</si>
  <si>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</si>
  <si>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</si>
  <si>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</si>
  <si>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</si>
  <si>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</si>
  <si>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</si>
  <si>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</si>
  <si>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</si>
  <si>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</si>
  <si>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</si>
  <si>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</si>
  <si>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</si>
  <si>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</si>
  <si>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</si>
  <si>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</si>
  <si>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</si>
  <si>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</si>
  <si>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</si>
  <si>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</si>
  <si>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</si>
  <si>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</si>
  <si>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</si>
  <si>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</si>
  <si>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</si>
  <si>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</si>
  <si>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</si>
  <si>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</si>
  <si>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</si>
  <si>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</si>
  <si>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</si>
  <si>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</si>
  <si>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</si>
  <si>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</si>
  <si>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</si>
  <si>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</si>
  <si>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</si>
  <si>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</si>
  <si>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</si>
  <si>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</si>
  <si>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</si>
  <si>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</si>
  <si>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</si>
  <si>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</si>
  <si>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</si>
  <si>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</si>
  <si>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</si>
  <si>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</si>
  <si>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</si>
  <si>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</si>
  <si>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</si>
  <si>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</si>
  <si>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</si>
  <si>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</si>
  <si>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</si>
  <si>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</si>
  <si>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</si>
  <si>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</si>
  <si>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</si>
  <si>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</si>
  <si>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</si>
  <si>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</si>
  <si>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</si>
  <si>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</si>
  <si>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</si>
  <si>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</si>
  <si>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</si>
  <si>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</si>
  <si>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</si>
  <si>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</si>
  <si>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</si>
  <si>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</si>
  <si>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</si>
  <si>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</si>
  <si>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</si>
  <si>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</si>
  <si>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</si>
  <si>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</si>
  <si>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</si>
  <si>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</si>
  <si>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</si>
  <si>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</si>
  <si>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</si>
  <si>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</si>
  <si>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</si>
  <si>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</si>
  <si>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</si>
  <si>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</si>
  <si>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</si>
  <si>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</si>
  <si>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</si>
  <si>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</si>
  <si>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</si>
  <si>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</si>
  <si>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</si>
  <si>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</si>
  <si>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</si>
  <si>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</si>
  <si>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</si>
  <si>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</si>
  <si>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</si>
  <si>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</si>
  <si>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</si>
  <si>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</si>
  <si>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</si>
  <si>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</si>
  <si>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</si>
  <si>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</si>
  <si>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</si>
  <si>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</si>
  <si>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</si>
  <si>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</si>
  <si>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</si>
  <si>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</si>
  <si>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</si>
  <si>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</si>
  <si>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</si>
  <si>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</si>
  <si>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</si>
  <si>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</si>
  <si>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</si>
  <si>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</si>
  <si>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</si>
  <si>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</si>
  <si>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</si>
  <si>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</si>
  <si>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</si>
  <si>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</si>
  <si>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</si>
  <si>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</si>
  <si>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</si>
  <si>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</si>
  <si>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</si>
  <si>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</si>
  <si>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</si>
  <si>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</si>
  <si>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</si>
  <si>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</si>
  <si>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</si>
  <si>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</si>
  <si>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</si>
  <si>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</si>
  <si>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</si>
  <si>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</si>
  <si>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</si>
  <si>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</si>
  <si>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Булгар Чех Инвест Холдинг АД - Смолян</t>
  </si>
  <si>
    <t xml:space="preserve">КОНСОЛИДИРАН </t>
  </si>
  <si>
    <t>1.Лазурен бряг АД Приморско</t>
  </si>
  <si>
    <t>2.Хемус Автотранспорт АД Габрово</t>
  </si>
  <si>
    <t>4.ЗММ Любимец АД Любимец</t>
  </si>
  <si>
    <t>1. Фармацевтични химикали АД Бургас</t>
  </si>
  <si>
    <t>8. Оазис Тур АД</t>
  </si>
  <si>
    <t>9. ЗММ Свиленград АД</t>
  </si>
  <si>
    <t>10. Елприбор АД Бургас</t>
  </si>
  <si>
    <t>11 Инфра нестинарка</t>
  </si>
  <si>
    <t>2. Булгар Комерс 2004</t>
  </si>
  <si>
    <t>5. Инвестиционни бонове- остатък масова приват</t>
  </si>
  <si>
    <t>Дата на съставяне: 25.05.2008 г</t>
  </si>
  <si>
    <t xml:space="preserve"> 2008 г. 31.03 - първо тримесечие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</si>
</sst>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лв&quot;_-;#,##0\ &quot;лв&quot;\-"/>
    <numFmt numFmtId="192" formatCode="#,##0\ &quot;лв&quot;_-;[Red]#,##0\ &quot;лв&quot;\-"/>
    <numFmt numFmtId="193" formatCode="#,##0.00\ &quot;лв&quot;_-;#,##0.00\ &quot;лв&quot;\-"/>
    <numFmt numFmtId="194" formatCode="#,##0.00\ &quot;лв&quot;_-;[Red]#,##0.00\ &quot;лв&quot;\-"/>
    <numFmt numFmtId="195" formatCode="_-* #,##0\ &quot;лв&quot;_-;_-* #,##0\ &quot;лв&quot;\-;_-* &quot;-&quot;\ &quot;лв&quot;_-;_-@_-"/>
    <numFmt numFmtId="196" formatCode="_-* #,##0\ _л_в_-;_-* #,##0\ _л_в\-;_-* &quot;-&quot;\ _л_в_-;_-@_-"/>
    <numFmt numFmtId="197" formatCode="_-* #,##0.00\ &quot;лв&quot;_-;_-* #,##0.00\ &quot;лв&quot;\-;_-* &quot;-&quot;??\ &quot;лв&quot;_-;_-@_-"/>
    <numFmt numFmtId="198" formatCode="_-* #,##0.00\ _л_в_-;_-* #,##0.00\ _л_в\-;_-* &quot;-&quot;??\ _л_в_-;_-@_-"/>
    <numFmt numFmtId="199" formatCode="#,##0.00\ &quot;$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%"/>
    <numFmt numFmtId="204" formatCode="0.000"/>
    <numFmt numFmtId="205" formatCode="#,##0.0"/>
    <numFmt numFmtId="206" formatCode="#,##0.000"/>
    <numFmt numFmtId="207" formatCode="#,##0.0000"/>
    <numFmt numFmtId="208" formatCode="#,##0.00000"/>
    <numFmt numFmtId="209" formatCode="#,##0.00000\ &quot;$&quot;"/>
    <numFmt numFmtId="210" formatCode="#,##0.0000\ &quot;$&quot;"/>
    <numFmt numFmtId="211" formatCode="#,##0.000\ &quot;$&quot;"/>
    <numFmt numFmtId="212" formatCode="0.00_);\(0.00\)"/>
    <numFmt numFmtId="213" formatCode="0.00_);[Red]\(0.00\)"/>
    <numFmt numFmtId="214" formatCode="0.0_);\(0.0\)"/>
    <numFmt numFmtId="215" formatCode="0_);\(0\)"/>
    <numFmt numFmtId="216" formatCode="#,##0.0_);\(#,##0.0\)"/>
    <numFmt numFmtId="217" formatCode="0.000_);\(0.000\)"/>
    <numFmt numFmtId="218" formatCode="#,##0.000\ _$;\-#,##0.000\ _$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8" applyFont="1" applyBorder="1" applyAlignment="1" applyProtection="1">
      <alignment horizontal="left" vertical="top"/>
      <protection locked="0"/>
    </xf>
    <xf numFmtId="0" fontId="12" fillId="0" borderId="0" xfId="31" applyFont="1" applyAlignment="1">
      <alignment horizontal="centerContinuous"/>
      <protection/>
    </xf>
    <xf numFmtId="0" fontId="13" fillId="0" borderId="0" xfId="31" applyFont="1">
      <alignment/>
      <protection/>
    </xf>
    <xf numFmtId="0" fontId="12" fillId="0" borderId="0" xfId="31" applyFont="1" applyAlignment="1">
      <alignment horizontal="centerContinuous" wrapText="1"/>
      <protection/>
    </xf>
    <xf numFmtId="0" fontId="14" fillId="0" borderId="0" xfId="31" applyFont="1">
      <alignment/>
      <protection/>
    </xf>
    <xf numFmtId="0" fontId="12" fillId="0" borderId="0" xfId="28" applyFont="1" applyBorder="1" applyAlignment="1" applyProtection="1">
      <alignment vertical="top" wrapText="1"/>
      <protection locked="0"/>
    </xf>
    <xf numFmtId="0" fontId="12" fillId="0" borderId="0" xfId="31" applyFont="1" applyAlignment="1">
      <alignment/>
      <protection/>
    </xf>
    <xf numFmtId="0" fontId="14" fillId="0" borderId="0" xfId="31" applyFont="1" applyAlignment="1">
      <alignment/>
      <protection/>
    </xf>
    <xf numFmtId="0" fontId="12" fillId="0" borderId="0" xfId="31" applyFont="1">
      <alignment/>
      <protection/>
    </xf>
    <xf numFmtId="0" fontId="12" fillId="0" borderId="0" xfId="29" applyFont="1" applyAlignment="1">
      <alignment wrapText="1"/>
      <protection/>
    </xf>
    <xf numFmtId="0" fontId="12" fillId="0" borderId="0" xfId="29" applyFont="1" applyAlignment="1">
      <alignment horizontal="right" wrapText="1"/>
      <protection/>
    </xf>
    <xf numFmtId="0" fontId="12" fillId="0" borderId="1" xfId="31" applyFont="1" applyBorder="1" applyAlignment="1">
      <alignment horizontal="center" vertical="center" wrapText="1"/>
      <protection/>
    </xf>
    <xf numFmtId="0" fontId="12" fillId="0" borderId="1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4" fillId="0" borderId="0" xfId="31" applyFont="1" applyAlignment="1">
      <alignment horizontal="center" vertical="center" wrapText="1"/>
      <protection/>
    </xf>
    <xf numFmtId="49" fontId="13" fillId="0" borderId="1" xfId="31" applyNumberFormat="1" applyFont="1" applyBorder="1" applyAlignment="1">
      <alignment horizontal="center" vertical="center" wrapText="1"/>
      <protection/>
    </xf>
    <xf numFmtId="49" fontId="13" fillId="0" borderId="1" xfId="31" applyNumberFormat="1" applyFont="1" applyFill="1" applyBorder="1" applyAlignment="1">
      <alignment horizontal="center" vertical="center" wrapText="1"/>
      <protection/>
    </xf>
    <xf numFmtId="0" fontId="12" fillId="0" borderId="1" xfId="31" applyFont="1" applyBorder="1" applyAlignment="1">
      <alignment vertical="center" wrapText="1"/>
      <protection/>
    </xf>
    <xf numFmtId="0" fontId="13" fillId="0" borderId="0" xfId="31" applyFont="1" applyBorder="1">
      <alignment/>
      <protection/>
    </xf>
    <xf numFmtId="0" fontId="11" fillId="0" borderId="0" xfId="31" applyFont="1">
      <alignment/>
      <protection/>
    </xf>
    <xf numFmtId="0" fontId="13" fillId="0" borderId="1" xfId="31" applyFont="1" applyBorder="1" applyAlignment="1">
      <alignment vertical="center" wrapText="1"/>
      <protection/>
    </xf>
    <xf numFmtId="0" fontId="13" fillId="0" borderId="1" xfId="31" applyFont="1" applyBorder="1" applyAlignment="1">
      <alignment wrapText="1"/>
      <protection/>
    </xf>
    <xf numFmtId="3" fontId="13" fillId="0" borderId="0" xfId="31" applyNumberFormat="1" applyFont="1" applyBorder="1" applyAlignment="1" applyProtection="1">
      <alignment vertical="center"/>
      <protection locked="0"/>
    </xf>
    <xf numFmtId="0" fontId="12" fillId="0" borderId="0" xfId="31" applyFont="1" applyBorder="1" applyProtection="1">
      <alignment/>
      <protection locked="0"/>
    </xf>
    <xf numFmtId="0" fontId="11" fillId="0" borderId="0" xfId="31" applyFont="1" applyAlignment="1">
      <alignment wrapText="1"/>
      <protection/>
    </xf>
    <xf numFmtId="0" fontId="11" fillId="0" borderId="0" xfId="31" applyFont="1" applyBorder="1">
      <alignment/>
      <protection/>
    </xf>
    <xf numFmtId="0" fontId="11" fillId="0" borderId="0" xfId="30" applyFont="1">
      <alignment/>
      <protection/>
    </xf>
    <xf numFmtId="0" fontId="13" fillId="0" borderId="0" xfId="30" applyFont="1" applyBorder="1" applyAlignment="1" applyProtection="1">
      <alignment horizontal="centerContinuous"/>
      <protection locked="0"/>
    </xf>
    <xf numFmtId="0" fontId="11" fillId="0" borderId="0" xfId="30" applyFont="1" applyBorder="1" applyAlignment="1">
      <alignment wrapText="1"/>
      <protection/>
    </xf>
    <xf numFmtId="0" fontId="11" fillId="0" borderId="0" xfId="30" applyFont="1" applyBorder="1">
      <alignment/>
      <protection/>
    </xf>
    <xf numFmtId="0" fontId="19" fillId="0" borderId="0" xfId="30" applyFont="1" applyBorder="1" applyAlignment="1">
      <alignment vertical="center" wrapText="1"/>
      <protection/>
    </xf>
    <xf numFmtId="0" fontId="11" fillId="0" borderId="0" xfId="30" applyFont="1" applyAlignment="1">
      <alignment wrapText="1"/>
      <protection/>
    </xf>
    <xf numFmtId="49" fontId="12" fillId="0" borderId="2" xfId="31" applyNumberFormat="1" applyFont="1" applyBorder="1" applyAlignment="1">
      <alignment horizontal="center" vertical="center" wrapText="1"/>
      <protection/>
    </xf>
    <xf numFmtId="49" fontId="12" fillId="0" borderId="1" xfId="31" applyNumberFormat="1" applyFont="1" applyBorder="1" applyAlignment="1">
      <alignment horizontal="center" vertical="center" wrapText="1"/>
      <protection/>
    </xf>
    <xf numFmtId="49" fontId="12" fillId="0" borderId="0" xfId="31" applyNumberFormat="1" applyFont="1" applyAlignment="1">
      <alignment horizontal="center" wrapText="1"/>
      <protection/>
    </xf>
    <xf numFmtId="49" fontId="13" fillId="0" borderId="1" xfId="31" applyNumberFormat="1" applyFont="1" applyBorder="1" applyAlignment="1">
      <alignment horizontal="center" wrapText="1"/>
      <protection/>
    </xf>
    <xf numFmtId="49" fontId="12" fillId="0" borderId="0" xfId="31" applyNumberFormat="1" applyFont="1" applyBorder="1" applyAlignment="1" applyProtection="1">
      <alignment horizontal="center" wrapText="1"/>
      <protection locked="0"/>
    </xf>
    <xf numFmtId="49" fontId="11" fillId="0" borderId="0" xfId="31" applyNumberFormat="1" applyFont="1" applyAlignment="1">
      <alignment horizontal="center" wrapText="1"/>
      <protection/>
    </xf>
    <xf numFmtId="49" fontId="13" fillId="2" borderId="1" xfId="31" applyNumberFormat="1" applyFont="1" applyFill="1" applyBorder="1" applyAlignment="1">
      <alignment horizontal="center" vertical="center" wrapText="1"/>
      <protection/>
    </xf>
    <xf numFmtId="0" fontId="12" fillId="0" borderId="0" xfId="28" applyFont="1" applyFill="1" applyBorder="1" applyAlignment="1" applyProtection="1">
      <alignment vertical="top" wrapText="1"/>
      <protection locked="0"/>
    </xf>
    <xf numFmtId="49" fontId="12" fillId="0" borderId="3" xfId="31" applyNumberFormat="1" applyFont="1" applyBorder="1" applyAlignment="1">
      <alignment horizontal="center" vertical="center" wrapText="1"/>
      <protection/>
    </xf>
    <xf numFmtId="0" fontId="13" fillId="0" borderId="0" xfId="27" applyFont="1">
      <alignment/>
      <protection/>
    </xf>
    <xf numFmtId="0" fontId="21" fillId="0" borderId="0" xfId="27" applyFont="1">
      <alignment/>
      <protection/>
    </xf>
    <xf numFmtId="0" fontId="22" fillId="0" borderId="0" xfId="27" applyFont="1">
      <alignment/>
      <protection/>
    </xf>
    <xf numFmtId="0" fontId="13" fillId="0" borderId="0" xfId="26" applyFont="1" applyAlignment="1">
      <alignment horizontal="center"/>
      <protection/>
    </xf>
    <xf numFmtId="0" fontId="21" fillId="0" borderId="0" xfId="27" applyFont="1" applyBorder="1">
      <alignment/>
      <protection/>
    </xf>
    <xf numFmtId="49" fontId="21" fillId="0" borderId="0" xfId="27" applyNumberFormat="1" applyFont="1">
      <alignment/>
      <protection/>
    </xf>
    <xf numFmtId="49" fontId="4" fillId="0" borderId="0" xfId="25" applyNumberFormat="1" applyFont="1" applyAlignment="1">
      <alignment horizontal="center" vertical="center" wrapText="1"/>
      <protection/>
    </xf>
    <xf numFmtId="0" fontId="0" fillId="0" borderId="0" xfId="25" applyFont="1" applyAlignment="1">
      <alignment horizontal="left" vertical="center" wrapText="1"/>
      <protection/>
    </xf>
    <xf numFmtId="49" fontId="0" fillId="0" borderId="0" xfId="25" applyNumberFormat="1" applyFont="1" applyAlignment="1">
      <alignment horizontal="left" vertical="center" wrapText="1"/>
      <protection/>
    </xf>
    <xf numFmtId="0" fontId="20" fillId="0" borderId="0" xfId="27" applyFont="1">
      <alignment/>
      <protection/>
    </xf>
    <xf numFmtId="0" fontId="4" fillId="0" borderId="0" xfId="25" applyNumberFormat="1" applyFont="1" applyAlignment="1">
      <alignment horizontal="center" vertical="center" wrapText="1"/>
      <protection/>
    </xf>
    <xf numFmtId="0" fontId="4" fillId="0" borderId="0" xfId="26" applyFont="1" applyAlignment="1">
      <alignment vertical="justify"/>
      <protection/>
    </xf>
    <xf numFmtId="0" fontId="4" fillId="0" borderId="0" xfId="26" applyFont="1" applyBorder="1" applyAlignment="1">
      <alignment vertical="justify"/>
      <protection/>
    </xf>
    <xf numFmtId="0" fontId="0" fillId="0" borderId="0" xfId="26" applyFont="1" applyAlignment="1">
      <alignment horizontal="center"/>
      <protection/>
    </xf>
    <xf numFmtId="0" fontId="20" fillId="0" borderId="0" xfId="27" applyFont="1" applyAlignment="1">
      <alignment/>
      <protection/>
    </xf>
    <xf numFmtId="0" fontId="5" fillId="0" borderId="0" xfId="26" applyFont="1" applyBorder="1" applyAlignment="1">
      <alignment vertical="justify"/>
      <protection/>
    </xf>
    <xf numFmtId="0" fontId="4" fillId="0" borderId="0" xfId="26" applyFont="1" applyBorder="1" applyAlignment="1">
      <alignment horizontal="right" vertical="justify"/>
      <protection/>
    </xf>
    <xf numFmtId="0" fontId="4" fillId="0" borderId="1" xfId="25" applyFont="1" applyBorder="1" applyAlignment="1">
      <alignment vertical="center" wrapText="1"/>
      <protection/>
    </xf>
    <xf numFmtId="49" fontId="4" fillId="0" borderId="1" xfId="25" applyNumberFormat="1" applyFont="1" applyBorder="1" applyAlignment="1">
      <alignment horizontal="center" vertical="center" wrapText="1"/>
      <protection/>
    </xf>
    <xf numFmtId="0" fontId="4" fillId="0" borderId="1" xfId="25" applyFont="1" applyBorder="1" applyAlignment="1">
      <alignment horizontal="center" vertical="center" wrapText="1"/>
      <protection/>
    </xf>
    <xf numFmtId="0" fontId="24" fillId="0" borderId="0" xfId="27" applyFont="1" applyBorder="1">
      <alignment/>
      <protection/>
    </xf>
    <xf numFmtId="0" fontId="24" fillId="0" borderId="0" xfId="27" applyFont="1">
      <alignment/>
      <protection/>
    </xf>
    <xf numFmtId="0" fontId="4" fillId="0" borderId="1" xfId="25" applyFont="1" applyBorder="1" applyAlignment="1">
      <alignment horizontal="left" vertical="center" wrapText="1"/>
      <protection/>
    </xf>
    <xf numFmtId="49" fontId="4" fillId="0" borderId="1" xfId="25" applyNumberFormat="1" applyFont="1" applyBorder="1" applyAlignment="1">
      <alignment horizontal="left" vertical="center" wrapText="1"/>
      <protection/>
    </xf>
    <xf numFmtId="0" fontId="5" fillId="0" borderId="1" xfId="25" applyFont="1" applyBorder="1" applyAlignment="1">
      <alignment horizontal="left" vertical="center" wrapText="1"/>
      <protection/>
    </xf>
    <xf numFmtId="49" fontId="1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right" vertical="center" wrapText="1"/>
      <protection/>
    </xf>
    <xf numFmtId="49" fontId="15" fillId="0" borderId="1" xfId="25" applyNumberFormat="1" applyFont="1" applyBorder="1" applyAlignment="1">
      <alignment horizontal="center" vertical="center" wrapText="1"/>
      <protection/>
    </xf>
    <xf numFmtId="49" fontId="23" fillId="0" borderId="1" xfId="25" applyNumberFormat="1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left" vertical="center" wrapText="1"/>
      <protection/>
    </xf>
    <xf numFmtId="0" fontId="4" fillId="0" borderId="0" xfId="25" applyFont="1" applyBorder="1" applyAlignment="1">
      <alignment horizontal="left" vertical="center" wrapText="1"/>
      <protection/>
    </xf>
    <xf numFmtId="49" fontId="4" fillId="0" borderId="0" xfId="25" applyNumberFormat="1" applyFont="1" applyBorder="1" applyAlignment="1">
      <alignment horizontal="left" vertical="center" wrapText="1"/>
      <protection/>
    </xf>
    <xf numFmtId="0" fontId="5" fillId="0" borderId="0" xfId="25" applyFont="1" applyBorder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0" fillId="0" borderId="0" xfId="25" applyNumberFormat="1" applyFont="1">
      <alignment/>
      <protection/>
    </xf>
    <xf numFmtId="49" fontId="20" fillId="0" borderId="0" xfId="27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1" fontId="13" fillId="5" borderId="1" xfId="30" applyNumberFormat="1" applyFont="1" applyFill="1" applyBorder="1" applyAlignment="1" applyProtection="1">
      <alignment vertical="center"/>
      <protection locked="0"/>
    </xf>
    <xf numFmtId="3" fontId="13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2" fillId="3" borderId="1" xfId="30" applyNumberFormat="1" applyFont="1" applyFill="1" applyBorder="1" applyAlignment="1" applyProtection="1">
      <alignment vertical="center"/>
      <protection locked="0"/>
    </xf>
    <xf numFmtId="3" fontId="12" fillId="0" borderId="1" xfId="30" applyNumberFormat="1" applyFont="1" applyBorder="1" applyAlignment="1" applyProtection="1">
      <alignment vertical="center"/>
      <protection/>
    </xf>
    <xf numFmtId="3" fontId="13" fillId="0" borderId="1" xfId="30" applyNumberFormat="1" applyFont="1" applyBorder="1" applyProtection="1">
      <alignment/>
      <protection/>
    </xf>
    <xf numFmtId="1" fontId="11" fillId="3" borderId="1" xfId="30" applyNumberFormat="1" applyFont="1" applyFill="1" applyBorder="1" applyProtection="1">
      <alignment/>
      <protection locked="0"/>
    </xf>
    <xf numFmtId="0" fontId="11" fillId="0" borderId="1" xfId="30" applyFont="1" applyBorder="1" applyProtection="1">
      <alignment/>
      <protection/>
    </xf>
    <xf numFmtId="1" fontId="11" fillId="5" borderId="1" xfId="30" applyNumberFormat="1" applyFont="1" applyFill="1" applyBorder="1" applyProtection="1">
      <alignment/>
      <protection locked="0"/>
    </xf>
    <xf numFmtId="3" fontId="11" fillId="0" borderId="1" xfId="30" applyNumberFormat="1" applyFont="1" applyBorder="1" applyProtection="1">
      <alignment/>
      <protection/>
    </xf>
    <xf numFmtId="3" fontId="11" fillId="0" borderId="1" xfId="30" applyNumberFormat="1" applyFont="1" applyFill="1" applyBorder="1" applyProtection="1">
      <alignment/>
      <protection/>
    </xf>
    <xf numFmtId="1" fontId="13" fillId="4" borderId="1" xfId="29" applyNumberFormat="1" applyFont="1" applyFill="1" applyBorder="1" applyAlignment="1" applyProtection="1">
      <alignment wrapText="1"/>
      <protection locked="0"/>
    </xf>
    <xf numFmtId="3" fontId="13" fillId="0" borderId="1" xfId="29" applyNumberFormat="1" applyFont="1" applyFill="1" applyBorder="1" applyAlignment="1" applyProtection="1">
      <alignment wrapText="1"/>
      <protection/>
    </xf>
    <xf numFmtId="1" fontId="13" fillId="5" borderId="1" xfId="29" applyNumberFormat="1" applyFont="1" applyFill="1" applyBorder="1" applyAlignment="1" applyProtection="1">
      <alignment wrapText="1"/>
      <protection locked="0"/>
    </xf>
    <xf numFmtId="49" fontId="13" fillId="0" borderId="1" xfId="31" applyNumberFormat="1" applyFont="1" applyBorder="1" applyAlignment="1" applyProtection="1">
      <alignment horizontal="center" vertical="center" wrapText="1"/>
      <protection/>
    </xf>
    <xf numFmtId="3" fontId="13" fillId="0" borderId="1" xfId="31" applyNumberFormat="1" applyFont="1" applyFill="1" applyBorder="1" applyAlignment="1" applyProtection="1">
      <alignment vertical="center"/>
      <protection/>
    </xf>
    <xf numFmtId="3" fontId="13" fillId="0" borderId="1" xfId="31" applyNumberFormat="1" applyFont="1" applyBorder="1" applyAlignment="1" applyProtection="1">
      <alignment vertical="center"/>
      <protection/>
    </xf>
    <xf numFmtId="1" fontId="13" fillId="4" borderId="1" xfId="31" applyNumberFormat="1" applyFont="1" applyFill="1" applyBorder="1" applyAlignment="1" applyProtection="1">
      <alignment vertical="center"/>
      <protection locked="0"/>
    </xf>
    <xf numFmtId="3" fontId="13" fillId="0" borderId="4" xfId="31" applyNumberFormat="1" applyFont="1" applyBorder="1" applyAlignment="1" applyProtection="1">
      <alignment vertical="center"/>
      <protection/>
    </xf>
    <xf numFmtId="3" fontId="13" fillId="0" borderId="2" xfId="31" applyNumberFormat="1" applyFont="1" applyBorder="1" applyAlignment="1" applyProtection="1">
      <alignment vertical="center"/>
      <protection/>
    </xf>
    <xf numFmtId="1" fontId="15" fillId="3" borderId="1" xfId="26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6" applyNumberFormat="1" applyFont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6" applyFont="1" applyBorder="1" applyAlignment="1" applyProtection="1">
      <alignment horizontal="center" vertical="center" wrapText="1"/>
      <protection/>
    </xf>
    <xf numFmtId="0" fontId="13" fillId="0" borderId="4" xfId="26" applyFont="1" applyFill="1" applyBorder="1" applyAlignment="1" applyProtection="1">
      <alignment horizontal="center" vertical="center" wrapText="1"/>
      <protection/>
    </xf>
    <xf numFmtId="0" fontId="21" fillId="0" borderId="0" xfId="27" applyFont="1" applyProtection="1">
      <alignment/>
      <protection/>
    </xf>
    <xf numFmtId="1" fontId="13" fillId="2" borderId="5" xfId="26" applyNumberFormat="1" applyFont="1" applyFill="1" applyBorder="1" applyAlignment="1" applyProtection="1">
      <alignment horizontal="left" vertical="center" wrapText="1"/>
      <protection/>
    </xf>
    <xf numFmtId="1" fontId="13" fillId="2" borderId="5" xfId="26" applyNumberFormat="1" applyFont="1" applyFill="1" applyBorder="1" applyAlignment="1" applyProtection="1">
      <alignment horizontal="center" vertical="center" wrapText="1"/>
      <protection/>
    </xf>
    <xf numFmtId="0" fontId="13" fillId="0" borderId="2" xfId="26" applyFont="1" applyBorder="1" applyAlignment="1" applyProtection="1">
      <alignment horizontal="center" vertical="center" wrapText="1"/>
      <protection/>
    </xf>
    <xf numFmtId="0" fontId="13" fillId="0" borderId="2" xfId="26" applyFont="1" applyFill="1" applyBorder="1" applyAlignment="1" applyProtection="1">
      <alignment horizontal="center" vertical="center" wrapText="1"/>
      <protection/>
    </xf>
    <xf numFmtId="1" fontId="13" fillId="3" borderId="1" xfId="26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6" applyFont="1" applyBorder="1" applyAlignment="1" applyProtection="1">
      <alignment horizontal="center" vertical="center" wrapText="1"/>
      <protection/>
    </xf>
    <xf numFmtId="0" fontId="13" fillId="0" borderId="1" xfId="26" applyFont="1" applyFill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center" vertical="center" wrapText="1"/>
      <protection/>
    </xf>
    <xf numFmtId="0" fontId="21" fillId="0" borderId="0" xfId="27" applyFont="1" applyBorder="1" applyProtection="1">
      <alignment/>
      <protection/>
    </xf>
    <xf numFmtId="1" fontId="21" fillId="0" borderId="0" xfId="27" applyNumberFormat="1" applyFont="1" applyBorder="1" applyProtection="1">
      <alignment/>
      <protection/>
    </xf>
    <xf numFmtId="0" fontId="13" fillId="0" borderId="1" xfId="24" applyFont="1" applyBorder="1" applyAlignment="1" applyProtection="1">
      <alignment horizontal="left" vertical="center" wrapText="1"/>
      <protection/>
    </xf>
    <xf numFmtId="0" fontId="13" fillId="0" borderId="0" xfId="24" applyFont="1" applyBorder="1" applyAlignment="1" applyProtection="1">
      <alignment horizontal="left" vertical="center" wrapText="1"/>
      <protection/>
    </xf>
    <xf numFmtId="1" fontId="13" fillId="0" borderId="0" xfId="24" applyNumberFormat="1" applyFont="1" applyBorder="1" applyAlignment="1" applyProtection="1">
      <alignment horizontal="left" vertical="center" wrapText="1"/>
      <protection/>
    </xf>
    <xf numFmtId="49" fontId="12" fillId="0" borderId="4" xfId="24" applyNumberFormat="1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0" fontId="22" fillId="0" borderId="0" xfId="27" applyFont="1" applyBorder="1" applyProtection="1">
      <alignment/>
      <protection/>
    </xf>
    <xf numFmtId="49" fontId="12" fillId="0" borderId="6" xfId="24" applyNumberFormat="1" applyFont="1" applyBorder="1" applyAlignment="1" applyProtection="1">
      <alignment horizontal="center" vertical="center" wrapText="1"/>
      <protection/>
    </xf>
    <xf numFmtId="0" fontId="12" fillId="0" borderId="4" xfId="24" applyFont="1" applyBorder="1" applyAlignment="1" applyProtection="1">
      <alignment horizontal="center" vertical="center" wrapText="1"/>
      <protection/>
    </xf>
    <xf numFmtId="49" fontId="12" fillId="0" borderId="2" xfId="24" applyNumberFormat="1" applyFont="1" applyBorder="1" applyAlignment="1" applyProtection="1">
      <alignment horizontal="center" vertical="center" wrapText="1"/>
      <protection/>
    </xf>
    <xf numFmtId="0" fontId="12" fillId="0" borderId="2" xfId="24" applyFont="1" applyBorder="1" applyAlignment="1" applyProtection="1">
      <alignment horizontal="center" vertical="center" wrapText="1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49" fontId="13" fillId="0" borderId="2" xfId="24" applyNumberFormat="1" applyFont="1" applyBorder="1" applyAlignment="1" applyProtection="1">
      <alignment horizontal="center" vertical="center" wrapText="1"/>
      <protection/>
    </xf>
    <xf numFmtId="0" fontId="13" fillId="0" borderId="2" xfId="24" applyFont="1" applyBorder="1" applyAlignment="1" applyProtection="1">
      <alignment horizontal="center" vertical="center" wrapText="1"/>
      <protection/>
    </xf>
    <xf numFmtId="0" fontId="12" fillId="0" borderId="1" xfId="24" applyFont="1" applyBorder="1" applyAlignment="1" applyProtection="1">
      <alignment horizontal="left" vertical="center" wrapText="1"/>
      <protection/>
    </xf>
    <xf numFmtId="49" fontId="12" fillId="0" borderId="1" xfId="24" applyNumberFormat="1" applyFont="1" applyBorder="1" applyAlignment="1" applyProtection="1">
      <alignment horizontal="left" vertical="center" wrapText="1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horizontal="right" vertical="center" wrapText="1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49" fontId="12" fillId="0" borderId="1" xfId="24" applyNumberFormat="1" applyFont="1" applyBorder="1" applyAlignment="1" applyProtection="1">
      <alignment horizontal="center" vertical="center" wrapText="1"/>
      <protection/>
    </xf>
    <xf numFmtId="0" fontId="13" fillId="0" borderId="1" xfId="24" applyFont="1" applyFill="1" applyBorder="1" applyAlignment="1" applyProtection="1">
      <alignment vertical="center" wrapText="1"/>
      <protection/>
    </xf>
    <xf numFmtId="49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right" vertical="center" wrapText="1"/>
      <protection/>
    </xf>
    <xf numFmtId="49" fontId="12" fillId="0" borderId="0" xfId="24" applyNumberFormat="1" applyFont="1" applyBorder="1" applyAlignment="1" applyProtection="1">
      <alignment horizontal="right" vertical="center" wrapText="1"/>
      <protection/>
    </xf>
    <xf numFmtId="49" fontId="21" fillId="0" borderId="0" xfId="27" applyNumberFormat="1" applyFont="1" applyProtection="1">
      <alignment/>
      <protection/>
    </xf>
    <xf numFmtId="1" fontId="13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3" applyFont="1" applyAlignment="1">
      <alignment/>
      <protection/>
    </xf>
    <xf numFmtId="0" fontId="13" fillId="0" borderId="0" xfId="23" applyFont="1">
      <alignment/>
      <protection/>
    </xf>
    <xf numFmtId="0" fontId="12" fillId="0" borderId="0" xfId="27" applyFont="1">
      <alignment/>
      <protection/>
    </xf>
    <xf numFmtId="0" fontId="13" fillId="0" borderId="0" xfId="27" applyFont="1" applyBorder="1">
      <alignment/>
      <protection/>
    </xf>
    <xf numFmtId="0" fontId="22" fillId="0" borderId="0" xfId="27" applyFont="1" applyAlignment="1">
      <alignment horizontal="center"/>
      <protection/>
    </xf>
    <xf numFmtId="49" fontId="13" fillId="0" borderId="0" xfId="27" applyNumberFormat="1" applyFont="1">
      <alignment/>
      <protection/>
    </xf>
    <xf numFmtId="0" fontId="13" fillId="0" borderId="1" xfId="23" applyFont="1" applyBorder="1" applyAlignment="1" applyProtection="1">
      <alignment horizontal="right" vertical="center" wrapText="1"/>
      <protection/>
    </xf>
    <xf numFmtId="1" fontId="13" fillId="0" borderId="1" xfId="23" applyNumberFormat="1" applyFont="1" applyBorder="1" applyAlignment="1" applyProtection="1">
      <alignment horizontal="right" vertical="center" wrapText="1"/>
      <protection/>
    </xf>
    <xf numFmtId="0" fontId="13" fillId="0" borderId="1" xfId="23" applyFont="1" applyFill="1" applyBorder="1" applyAlignment="1" applyProtection="1">
      <alignment horizontal="right" vertical="center" wrapText="1"/>
      <protection/>
    </xf>
    <xf numFmtId="0" fontId="13" fillId="0" borderId="0" xfId="23" applyFont="1" applyBorder="1" applyProtection="1">
      <alignment/>
      <protection/>
    </xf>
    <xf numFmtId="0" fontId="13" fillId="0" borderId="0" xfId="27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3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3" applyNumberFormat="1" applyFont="1" applyFill="1" applyBorder="1" applyAlignment="1" applyProtection="1">
      <alignment horizontal="right"/>
      <protection locked="0"/>
    </xf>
    <xf numFmtId="1" fontId="13" fillId="5" borderId="1" xfId="23" applyNumberFormat="1" applyFont="1" applyFill="1" applyBorder="1" applyAlignment="1" applyProtection="1">
      <alignment horizontal="right"/>
      <protection locked="0"/>
    </xf>
    <xf numFmtId="1" fontId="13" fillId="0" borderId="1" xfId="23" applyNumberFormat="1" applyFont="1" applyBorder="1" applyAlignment="1" applyProtection="1">
      <alignment horizontal="right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Protection="1">
      <alignment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12" fillId="0" borderId="0" xfId="27" applyFont="1" applyAlignment="1" applyProtection="1">
      <alignment horizontal="center"/>
      <protection/>
    </xf>
    <xf numFmtId="0" fontId="22" fillId="0" borderId="0" xfId="27" applyFont="1" applyAlignment="1" applyProtection="1">
      <alignment horizontal="center"/>
      <protection/>
    </xf>
    <xf numFmtId="0" fontId="12" fillId="0" borderId="1" xfId="23" applyFont="1" applyBorder="1" applyAlignment="1" applyProtection="1">
      <alignment horizontal="center"/>
      <protection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1" xfId="23" applyNumberFormat="1" applyFont="1" applyFill="1" applyBorder="1" applyAlignment="1" applyProtection="1">
      <alignment horizontal="right" vertical="center" wrapText="1"/>
      <protection/>
    </xf>
    <xf numFmtId="1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horizontal="center" vertical="center" wrapText="1"/>
      <protection/>
    </xf>
    <xf numFmtId="1" fontId="21" fillId="0" borderId="0" xfId="27" applyNumberFormat="1" applyFont="1" applyProtection="1">
      <alignment/>
      <protection/>
    </xf>
    <xf numFmtId="0" fontId="12" fillId="0" borderId="0" xfId="23" applyFont="1" applyBorder="1" applyProtection="1">
      <alignment/>
      <protection/>
    </xf>
    <xf numFmtId="0" fontId="12" fillId="0" borderId="0" xfId="27" applyFont="1" applyProtection="1">
      <alignment/>
      <protection/>
    </xf>
    <xf numFmtId="0" fontId="12" fillId="0" borderId="1" xfId="23" applyFont="1" applyBorder="1" applyProtection="1">
      <alignment/>
      <protection/>
    </xf>
    <xf numFmtId="1" fontId="13" fillId="0" borderId="1" xfId="23" applyNumberFormat="1" applyFont="1" applyFill="1" applyBorder="1" applyAlignment="1" applyProtection="1">
      <alignment horizontal="right"/>
      <protection/>
    </xf>
    <xf numFmtId="0" fontId="12" fillId="0" borderId="1" xfId="30" applyFont="1" applyBorder="1" applyAlignment="1" applyProtection="1">
      <alignment vertical="center" wrapText="1"/>
      <protection/>
    </xf>
    <xf numFmtId="49" fontId="14" fillId="0" borderId="1" xfId="30" applyNumberFormat="1" applyFont="1" applyBorder="1" applyAlignment="1" applyProtection="1">
      <alignment horizontal="centerContinuous" wrapText="1"/>
      <protection/>
    </xf>
    <xf numFmtId="0" fontId="11" fillId="0" borderId="0" xfId="30" applyFont="1" applyProtection="1">
      <alignment/>
      <protection/>
    </xf>
    <xf numFmtId="0" fontId="12" fillId="0" borderId="1" xfId="30" applyFont="1" applyBorder="1" applyAlignment="1" applyProtection="1">
      <alignment horizontal="left" vertical="center" wrapText="1"/>
      <protection/>
    </xf>
    <xf numFmtId="49" fontId="12" fillId="0" borderId="1" xfId="30" applyNumberFormat="1" applyFont="1" applyBorder="1" applyAlignment="1" applyProtection="1">
      <alignment horizontal="center" vertical="center"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3" fillId="3" borderId="1" xfId="29" applyNumberFormat="1" applyFont="1" applyFill="1" applyBorder="1" applyAlignment="1" applyProtection="1">
      <alignment wrapText="1"/>
      <protection locked="0"/>
    </xf>
    <xf numFmtId="1" fontId="13" fillId="0" borderId="0" xfId="29" applyNumberFormat="1" applyFont="1" applyAlignment="1" applyProtection="1">
      <alignment wrapText="1"/>
      <protection/>
    </xf>
    <xf numFmtId="1" fontId="11" fillId="0" borderId="0" xfId="29" applyNumberFormat="1" applyFont="1" applyAlignment="1" applyProtection="1">
      <alignment wrapText="1"/>
      <protection/>
    </xf>
    <xf numFmtId="0" fontId="13" fillId="0" borderId="0" xfId="31" applyFont="1" applyBorder="1" applyProtection="1">
      <alignment/>
      <protection/>
    </xf>
    <xf numFmtId="0" fontId="11" fillId="0" borderId="0" xfId="31" applyFont="1" applyProtection="1">
      <alignment/>
      <protection/>
    </xf>
    <xf numFmtId="0" fontId="12" fillId="0" borderId="0" xfId="31" applyFont="1" applyBorder="1" applyAlignment="1">
      <alignment horizontal="centerContinuous" vertical="center" wrapText="1"/>
      <protection/>
    </xf>
    <xf numFmtId="0" fontId="12" fillId="0" borderId="0" xfId="31" applyFont="1" applyBorder="1" applyAlignment="1">
      <alignment horizontal="left" vertical="top" wrapText="1"/>
      <protection/>
    </xf>
    <xf numFmtId="0" fontId="13" fillId="0" borderId="0" xfId="23" applyFont="1" applyAlignment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" fontId="13" fillId="0" borderId="0" xfId="26" applyNumberFormat="1" applyFont="1" applyBorder="1" applyAlignment="1">
      <alignment vertical="justify" wrapText="1"/>
      <protection/>
    </xf>
    <xf numFmtId="0" fontId="12" fillId="0" borderId="3" xfId="24" applyFont="1" applyBorder="1" applyAlignment="1" applyProtection="1">
      <alignment horizontal="centerContinuous" vertical="center" wrapText="1"/>
      <protection/>
    </xf>
    <xf numFmtId="0" fontId="12" fillId="0" borderId="5" xfId="24" applyFont="1" applyBorder="1" applyAlignment="1" applyProtection="1">
      <alignment horizontal="centerContinuous" vertical="center" wrapText="1"/>
      <protection/>
    </xf>
    <xf numFmtId="0" fontId="12" fillId="0" borderId="7" xfId="24" applyFont="1" applyBorder="1" applyAlignment="1" applyProtection="1">
      <alignment horizontal="centerContinuous" vertical="center" wrapText="1"/>
      <protection/>
    </xf>
    <xf numFmtId="0" fontId="12" fillId="0" borderId="1" xfId="24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5" applyNumberFormat="1" applyFont="1" applyAlignment="1">
      <alignment horizontal="centerContinuous" vertical="center" wrapText="1"/>
      <protection/>
    </xf>
    <xf numFmtId="0" fontId="10" fillId="0" borderId="0" xfId="28" applyFont="1" applyAlignment="1">
      <alignment horizontal="left" vertical="top" wrapText="1"/>
      <protection/>
    </xf>
    <xf numFmtId="0" fontId="10" fillId="0" borderId="0" xfId="28" applyFont="1" applyAlignment="1">
      <alignment vertical="top" wrapText="1"/>
      <protection/>
    </xf>
    <xf numFmtId="0" fontId="10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8" fillId="0" borderId="0" xfId="28" applyFont="1" applyBorder="1" applyAlignment="1" applyProtection="1">
      <alignment vertical="top" wrapText="1"/>
      <protection locked="0"/>
    </xf>
    <xf numFmtId="1" fontId="10" fillId="3" borderId="3" xfId="28" applyNumberFormat="1" applyFont="1" applyFill="1" applyBorder="1" applyAlignment="1" applyProtection="1">
      <alignment vertical="top" wrapText="1"/>
      <protection locked="0"/>
    </xf>
    <xf numFmtId="1" fontId="10" fillId="3" borderId="8" xfId="28" applyNumberFormat="1" applyFont="1" applyFill="1" applyBorder="1" applyAlignment="1" applyProtection="1">
      <alignment vertical="top" wrapText="1"/>
      <protection locked="0"/>
    </xf>
    <xf numFmtId="1" fontId="10" fillId="5" borderId="8" xfId="28" applyNumberFormat="1" applyFont="1" applyFill="1" applyBorder="1" applyAlignment="1" applyProtection="1">
      <alignment vertical="top" wrapText="1"/>
      <protection locked="0"/>
    </xf>
    <xf numFmtId="1" fontId="10" fillId="0" borderId="8" xfId="28" applyNumberFormat="1" applyFont="1" applyBorder="1" applyAlignment="1" applyProtection="1">
      <alignment vertical="top" wrapText="1"/>
      <protection/>
    </xf>
    <xf numFmtId="1" fontId="10" fillId="0" borderId="3" xfId="28" applyNumberFormat="1" applyFont="1" applyBorder="1" applyAlignment="1" applyProtection="1">
      <alignment vertical="top" wrapText="1"/>
      <protection/>
    </xf>
    <xf numFmtId="1" fontId="10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10" fillId="4" borderId="8" xfId="28" applyNumberFormat="1" applyFont="1" applyFill="1" applyBorder="1" applyAlignment="1" applyProtection="1">
      <alignment vertical="top" wrapText="1"/>
      <protection locked="0"/>
    </xf>
    <xf numFmtId="1" fontId="10" fillId="0" borderId="9" xfId="28" applyNumberFormat="1" applyFont="1" applyBorder="1" applyAlignment="1" applyProtection="1">
      <alignment vertical="top" wrapText="1"/>
      <protection/>
    </xf>
    <xf numFmtId="1" fontId="10" fillId="5" borderId="10" xfId="28" applyNumberFormat="1" applyFont="1" applyFill="1" applyBorder="1" applyAlignment="1" applyProtection="1">
      <alignment vertical="top" wrapText="1"/>
      <protection locked="0"/>
    </xf>
    <xf numFmtId="1" fontId="10" fillId="0" borderId="11" xfId="28" applyNumberFormat="1" applyFont="1" applyBorder="1" applyAlignment="1" applyProtection="1">
      <alignment vertical="top" wrapText="1"/>
      <protection/>
    </xf>
    <xf numFmtId="1" fontId="8" fillId="0" borderId="8" xfId="28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8" applyNumberFormat="1" applyFont="1" applyBorder="1" applyAlignment="1" applyProtection="1">
      <alignment vertical="top" wrapText="1"/>
      <protection/>
    </xf>
    <xf numFmtId="1" fontId="10" fillId="0" borderId="13" xfId="28" applyNumberFormat="1" applyFont="1" applyBorder="1" applyAlignment="1" applyProtection="1">
      <alignment vertical="top" wrapText="1"/>
      <protection/>
    </xf>
    <xf numFmtId="0" fontId="8" fillId="0" borderId="0" xfId="28" applyFont="1" applyBorder="1" applyAlignment="1">
      <alignment vertical="top" wrapText="1"/>
      <protection/>
    </xf>
    <xf numFmtId="49" fontId="8" fillId="0" borderId="0" xfId="28" applyNumberFormat="1" applyFont="1" applyBorder="1" applyAlignment="1">
      <alignment vertical="top" wrapText="1"/>
      <protection/>
    </xf>
    <xf numFmtId="1" fontId="10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Alignment="1" applyProtection="1">
      <alignment vertical="top" wrapText="1"/>
      <protection locked="0"/>
    </xf>
    <xf numFmtId="0" fontId="10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2" fillId="0" borderId="4" xfId="31" applyFont="1" applyBorder="1" applyAlignment="1">
      <alignment horizontal="centerContinuous" vertical="center" wrapText="1"/>
      <protection/>
    </xf>
    <xf numFmtId="0" fontId="12" fillId="0" borderId="6" xfId="31" applyFont="1" applyBorder="1" applyAlignment="1">
      <alignment horizontal="centerContinuous" vertical="center" wrapText="1"/>
      <protection/>
    </xf>
    <xf numFmtId="0" fontId="12" fillId="0" borderId="2" xfId="31" applyFont="1" applyBorder="1" applyAlignment="1">
      <alignment horizontal="centerContinuous" vertical="center" wrapText="1"/>
      <protection/>
    </xf>
    <xf numFmtId="0" fontId="12" fillId="2" borderId="4" xfId="31" applyFont="1" applyFill="1" applyBorder="1" applyAlignment="1">
      <alignment horizontal="centerContinuous" vertical="center" wrapText="1"/>
      <protection/>
    </xf>
    <xf numFmtId="0" fontId="12" fillId="2" borderId="2" xfId="31" applyFont="1" applyFill="1" applyBorder="1" applyAlignment="1">
      <alignment horizontal="centerContinuous" vertical="center" wrapText="1"/>
      <protection/>
    </xf>
    <xf numFmtId="1" fontId="13" fillId="2" borderId="3" xfId="31" applyNumberFormat="1" applyFont="1" applyFill="1" applyBorder="1" applyAlignment="1" applyProtection="1">
      <alignment vertical="center"/>
      <protection locked="0"/>
    </xf>
    <xf numFmtId="1" fontId="13" fillId="2" borderId="5" xfId="31" applyNumberFormat="1" applyFont="1" applyFill="1" applyBorder="1" applyAlignment="1" applyProtection="1">
      <alignment vertical="center"/>
      <protection locked="0"/>
    </xf>
    <xf numFmtId="1" fontId="13" fillId="2" borderId="7" xfId="31" applyNumberFormat="1" applyFont="1" applyFill="1" applyBorder="1" applyAlignment="1" applyProtection="1">
      <alignment vertical="center"/>
      <protection locked="0"/>
    </xf>
    <xf numFmtId="1" fontId="13" fillId="3" borderId="1" xfId="31" applyNumberFormat="1" applyFont="1" applyFill="1" applyBorder="1" applyAlignment="1" applyProtection="1">
      <alignment vertical="center"/>
      <protection locked="0"/>
    </xf>
    <xf numFmtId="0" fontId="12" fillId="0" borderId="4" xfId="31" applyFont="1" applyBorder="1" applyAlignment="1">
      <alignment horizontal="left" vertical="center" wrapText="1"/>
      <protection/>
    </xf>
    <xf numFmtId="1" fontId="15" fillId="3" borderId="1" xfId="26" applyNumberFormat="1" applyFont="1" applyFill="1" applyBorder="1" applyAlignment="1" applyProtection="1">
      <alignment vertical="center" wrapText="1"/>
      <protection locked="0"/>
    </xf>
    <xf numFmtId="1" fontId="13" fillId="0" borderId="1" xfId="26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vertical="center" wrapText="1"/>
      <protection locked="0"/>
    </xf>
    <xf numFmtId="0" fontId="15" fillId="0" borderId="4" xfId="26" applyFont="1" applyBorder="1" applyAlignment="1" applyProtection="1">
      <alignment vertical="center" wrapText="1"/>
      <protection/>
    </xf>
    <xf numFmtId="1" fontId="13" fillId="2" borderId="5" xfId="26" applyNumberFormat="1" applyFont="1" applyFill="1" applyBorder="1" applyAlignment="1" applyProtection="1">
      <alignment vertical="center" wrapText="1"/>
      <protection/>
    </xf>
    <xf numFmtId="0" fontId="13" fillId="0" borderId="2" xfId="26" applyFont="1" applyBorder="1" applyAlignment="1" applyProtection="1">
      <alignment vertical="center" wrapText="1"/>
      <protection/>
    </xf>
    <xf numFmtId="0" fontId="13" fillId="0" borderId="1" xfId="26" applyFont="1" applyBorder="1" applyAlignment="1" applyProtection="1">
      <alignment vertical="center" wrapText="1"/>
      <protection/>
    </xf>
    <xf numFmtId="0" fontId="15" fillId="0" borderId="1" xfId="26" applyFont="1" applyBorder="1" applyAlignment="1" applyProtection="1">
      <alignment vertical="center" wrapText="1"/>
      <protection/>
    </xf>
    <xf numFmtId="0" fontId="21" fillId="0" borderId="0" xfId="27" applyFont="1" applyAlignment="1">
      <alignment/>
      <protection/>
    </xf>
    <xf numFmtId="1" fontId="13" fillId="5" borderId="1" xfId="24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3" xfId="31" applyNumberFormat="1" applyFont="1" applyFill="1" applyBorder="1" applyAlignment="1" applyProtection="1">
      <alignment vertical="center"/>
      <protection locked="0"/>
    </xf>
    <xf numFmtId="3" fontId="13" fillId="0" borderId="0" xfId="31" applyNumberFormat="1" applyFont="1" applyBorder="1" applyProtection="1">
      <alignment/>
      <protection/>
    </xf>
    <xf numFmtId="0" fontId="12" fillId="0" borderId="3" xfId="31" applyFont="1" applyBorder="1" applyAlignment="1">
      <alignment horizontal="centerContinuous" vertical="center" wrapText="1"/>
      <protection/>
    </xf>
    <xf numFmtId="0" fontId="12" fillId="0" borderId="9" xfId="31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1" applyFont="1" applyBorder="1" applyAlignment="1">
      <alignment horizontal="center" vertical="center" wrapText="1"/>
      <protection/>
    </xf>
    <xf numFmtId="0" fontId="12" fillId="0" borderId="2" xfId="31" applyFont="1" applyFill="1" applyBorder="1" applyAlignment="1">
      <alignment horizontal="center" vertical="center" wrapText="1"/>
      <protection/>
    </xf>
    <xf numFmtId="0" fontId="12" fillId="0" borderId="14" xfId="31" applyFont="1" applyBorder="1" applyAlignment="1">
      <alignment horizontal="centerContinuous" vertical="center" wrapText="1"/>
      <protection/>
    </xf>
    <xf numFmtId="0" fontId="12" fillId="2" borderId="6" xfId="31" applyFont="1" applyFill="1" applyBorder="1" applyAlignment="1">
      <alignment horizontal="center" vertical="center" wrapText="1"/>
      <protection/>
    </xf>
    <xf numFmtId="0" fontId="12" fillId="0" borderId="9" xfId="31" applyFont="1" applyBorder="1" applyAlignment="1">
      <alignment horizontal="centerContinuous" vertical="center" wrapText="1"/>
      <protection/>
    </xf>
    <xf numFmtId="0" fontId="12" fillId="0" borderId="10" xfId="31" applyFont="1" applyBorder="1" applyAlignment="1">
      <alignment horizontal="center" vertical="center" wrapText="1"/>
      <protection/>
    </xf>
    <xf numFmtId="0" fontId="12" fillId="0" borderId="15" xfId="31" applyFont="1" applyBorder="1" applyAlignment="1">
      <alignment horizontal="centerContinuous" vertical="center" wrapText="1"/>
      <protection/>
    </xf>
    <xf numFmtId="0" fontId="12" fillId="0" borderId="16" xfId="31" applyFont="1" applyBorder="1" applyAlignment="1">
      <alignment horizontal="centerContinuous" vertical="center" wrapText="1"/>
      <protection/>
    </xf>
    <xf numFmtId="49" fontId="12" fillId="0" borderId="9" xfId="31" applyNumberFormat="1" applyFont="1" applyBorder="1" applyAlignment="1">
      <alignment horizontal="centerContinuous" vertical="center" wrapText="1"/>
      <protection/>
    </xf>
    <xf numFmtId="49" fontId="12" fillId="0" borderId="10" xfId="31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8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centerContinuous" vertical="top" wrapText="1"/>
      <protection locked="0"/>
    </xf>
    <xf numFmtId="0" fontId="8" fillId="0" borderId="0" xfId="28" applyFont="1" applyAlignment="1" applyProtection="1">
      <alignment horizontal="center" vertical="top" wrapText="1"/>
      <protection locked="0"/>
    </xf>
    <xf numFmtId="0" fontId="10" fillId="0" borderId="0" xfId="28" applyFont="1" applyAlignment="1" applyProtection="1">
      <alignment horizontal="left" vertical="top"/>
      <protection locked="0"/>
    </xf>
    <xf numFmtId="0" fontId="8" fillId="0" borderId="0" xfId="28" applyFont="1" applyBorder="1" applyAlignment="1" applyProtection="1">
      <alignment horizontal="center" vertical="top"/>
      <protection locked="0"/>
    </xf>
    <xf numFmtId="0" fontId="8" fillId="0" borderId="0" xfId="29" applyFont="1" applyAlignment="1" applyProtection="1">
      <alignment wrapText="1"/>
      <protection locked="0"/>
    </xf>
    <xf numFmtId="0" fontId="8" fillId="0" borderId="17" xfId="28" applyFont="1" applyBorder="1" applyAlignment="1" applyProtection="1">
      <alignment horizontal="center" vertical="center"/>
      <protection/>
    </xf>
    <xf numFmtId="0" fontId="8" fillId="0" borderId="18" xfId="28" applyFont="1" applyBorder="1" applyAlignment="1" applyProtection="1">
      <alignment horizontal="center" vertical="top" wrapText="1"/>
      <protection/>
    </xf>
    <xf numFmtId="14" fontId="8" fillId="0" borderId="18" xfId="28" applyNumberFormat="1" applyFont="1" applyBorder="1" applyAlignment="1" applyProtection="1">
      <alignment horizontal="center" vertical="top" wrapText="1"/>
      <protection/>
    </xf>
    <xf numFmtId="49" fontId="8" fillId="0" borderId="18" xfId="28" applyNumberFormat="1" applyFont="1" applyBorder="1" applyAlignment="1" applyProtection="1">
      <alignment horizontal="center" vertical="center" wrapText="1"/>
      <protection/>
    </xf>
    <xf numFmtId="14" fontId="8" fillId="0" borderId="19" xfId="28" applyNumberFormat="1" applyFont="1" applyBorder="1" applyAlignment="1" applyProtection="1">
      <alignment horizontal="center" vertical="top" wrapText="1"/>
      <protection/>
    </xf>
    <xf numFmtId="0" fontId="8" fillId="0" borderId="20" xfId="28" applyFont="1" applyBorder="1" applyAlignment="1" applyProtection="1">
      <alignment horizontal="center" vertical="center" wrapText="1"/>
      <protection/>
    </xf>
    <xf numFmtId="0" fontId="8" fillId="0" borderId="1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center" vertical="center" wrapText="1"/>
      <protection/>
    </xf>
    <xf numFmtId="0" fontId="8" fillId="0" borderId="8" xfId="28" applyFont="1" applyBorder="1" applyAlignment="1" applyProtection="1">
      <alignment horizontal="center" vertical="top" wrapText="1"/>
      <protection/>
    </xf>
    <xf numFmtId="49" fontId="8" fillId="0" borderId="1" xfId="28" applyNumberFormat="1" applyFont="1" applyBorder="1" applyAlignment="1" applyProtection="1">
      <alignment horizontal="right" vertical="top" wrapText="1"/>
      <protection/>
    </xf>
    <xf numFmtId="0" fontId="10" fillId="0" borderId="1" xfId="28" applyFont="1" applyBorder="1" applyAlignment="1" applyProtection="1">
      <alignment vertical="top" wrapText="1"/>
      <protection/>
    </xf>
    <xf numFmtId="0" fontId="10" fillId="0" borderId="3" xfId="28" applyFont="1" applyBorder="1" applyAlignment="1" applyProtection="1">
      <alignment vertical="top" wrapText="1"/>
      <protection/>
    </xf>
    <xf numFmtId="49" fontId="8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8" applyFont="1" applyFill="1" applyBorder="1" applyAlignment="1" applyProtection="1">
      <alignment vertical="top" wrapText="1"/>
      <protection/>
    </xf>
    <xf numFmtId="0" fontId="10" fillId="0" borderId="1" xfId="28" applyFont="1" applyBorder="1" applyAlignment="1" applyProtection="1">
      <alignment horizontal="right" vertical="top" wrapText="1"/>
      <protection/>
    </xf>
    <xf numFmtId="0" fontId="26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26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9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26" fillId="6" borderId="1" xfId="28" applyNumberFormat="1" applyFont="1" applyFill="1" applyBorder="1" applyAlignment="1" applyProtection="1">
      <alignment vertical="top" wrapText="1"/>
      <protection/>
    </xf>
    <xf numFmtId="1" fontId="10" fillId="0" borderId="1" xfId="28" applyNumberFormat="1" applyFont="1" applyBorder="1" applyAlignment="1" applyProtection="1">
      <alignment vertical="top" wrapText="1"/>
      <protection/>
    </xf>
    <xf numFmtId="1" fontId="26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8" fillId="0" borderId="9" xfId="28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8" applyNumberFormat="1" applyFont="1" applyFill="1" applyBorder="1" applyAlignment="1" applyProtection="1">
      <alignment vertical="top"/>
      <protection/>
    </xf>
    <xf numFmtId="0" fontId="26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8" fillId="0" borderId="1" xfId="28" applyNumberFormat="1" applyFont="1" applyBorder="1" applyAlignment="1" applyProtection="1">
      <alignment horizontal="right" vertical="top" wrapText="1"/>
      <protection/>
    </xf>
    <xf numFmtId="1" fontId="10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10" fillId="0" borderId="21" xfId="28" applyNumberFormat="1" applyFont="1" applyBorder="1" applyAlignment="1" applyProtection="1">
      <alignment vertical="top" wrapText="1"/>
      <protection/>
    </xf>
    <xf numFmtId="1" fontId="10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10" fillId="0" borderId="23" xfId="28" applyNumberFormat="1" applyFont="1" applyBorder="1" applyAlignment="1" applyProtection="1">
      <alignment vertical="top" wrapText="1"/>
      <protection/>
    </xf>
    <xf numFmtId="1" fontId="10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2" fillId="0" borderId="0" xfId="30" applyFont="1" applyBorder="1" applyAlignment="1" applyProtection="1">
      <alignment horizontal="centerContinuous" vertical="center" wrapText="1"/>
      <protection locked="0"/>
    </xf>
    <xf numFmtId="0" fontId="13" fillId="0" borderId="26" xfId="30" applyFont="1" applyBorder="1" applyAlignment="1" applyProtection="1">
      <alignment horizontal="centerContinuous"/>
      <protection locked="0"/>
    </xf>
    <xf numFmtId="0" fontId="13" fillId="0" borderId="0" xfId="30" applyFont="1" applyAlignment="1" applyProtection="1">
      <alignment horizontal="centerContinuous" wrapText="1"/>
      <protection locked="0"/>
    </xf>
    <xf numFmtId="0" fontId="11" fillId="0" borderId="0" xfId="30" applyFont="1" applyAlignment="1" applyProtection="1">
      <alignment horizontal="centerContinuous" wrapText="1"/>
      <protection locked="0"/>
    </xf>
    <xf numFmtId="0" fontId="11" fillId="0" borderId="0" xfId="30" applyFont="1" applyProtection="1">
      <alignment/>
      <protection locked="0"/>
    </xf>
    <xf numFmtId="0" fontId="7" fillId="0" borderId="0" xfId="28" applyFont="1" applyAlignment="1" applyProtection="1">
      <alignment vertical="top"/>
      <protection locked="0"/>
    </xf>
    <xf numFmtId="0" fontId="7" fillId="0" borderId="0" xfId="28" applyFont="1" applyAlignment="1" applyProtection="1">
      <alignment vertical="top" wrapText="1"/>
      <protection locked="0"/>
    </xf>
    <xf numFmtId="0" fontId="14" fillId="0" borderId="0" xfId="30" applyFont="1" applyAlignment="1" applyProtection="1">
      <alignment horizontal="right"/>
      <protection locked="0"/>
    </xf>
    <xf numFmtId="0" fontId="12" fillId="0" borderId="1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3" xfId="30" applyFont="1" applyBorder="1" applyAlignment="1" applyProtection="1">
      <alignment horizontal="center" vertical="center" wrapText="1"/>
      <protection/>
    </xf>
    <xf numFmtId="0" fontId="12" fillId="0" borderId="2" xfId="30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wrapText="1"/>
      <protection/>
    </xf>
    <xf numFmtId="0" fontId="15" fillId="0" borderId="1" xfId="30" applyFont="1" applyBorder="1" applyAlignment="1" applyProtection="1">
      <alignment vertical="center" wrapText="1"/>
      <protection/>
    </xf>
    <xf numFmtId="0" fontId="13" fillId="0" borderId="1" xfId="30" applyFont="1" applyFill="1" applyBorder="1" applyProtection="1">
      <alignment/>
      <protection/>
    </xf>
    <xf numFmtId="0" fontId="13" fillId="0" borderId="1" xfId="30" applyFont="1" applyBorder="1" applyAlignment="1" applyProtection="1">
      <alignment vertical="center" wrapText="1"/>
      <protection/>
    </xf>
    <xf numFmtId="3" fontId="13" fillId="0" borderId="1" xfId="30" applyNumberFormat="1" applyFont="1" applyBorder="1" applyAlignment="1" applyProtection="1">
      <alignment horizontal="center" vertical="center"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0" fontId="13" fillId="0" borderId="1" xfId="30" applyFont="1" applyFill="1" applyBorder="1" applyAlignment="1" applyProtection="1">
      <alignment vertical="center" wrapText="1"/>
      <protection/>
    </xf>
    <xf numFmtId="0" fontId="15" fillId="0" borderId="1" xfId="30" applyFont="1" applyBorder="1" applyAlignment="1" applyProtection="1">
      <alignment horizontal="right" vertical="center" wrapText="1"/>
      <protection/>
    </xf>
    <xf numFmtId="49" fontId="16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0" fontId="16" fillId="0" borderId="1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horizontal="left" vertical="center" wrapText="1"/>
      <protection/>
    </xf>
    <xf numFmtId="3" fontId="15" fillId="0" borderId="1" xfId="30" applyNumberFormat="1" applyFont="1" applyBorder="1" applyAlignment="1" applyProtection="1">
      <alignment horizontal="center" vertical="center"/>
      <protection/>
    </xf>
    <xf numFmtId="0" fontId="13" fillId="0" borderId="1" xfId="30" applyFont="1" applyBorder="1" applyAlignment="1" applyProtection="1">
      <alignment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0" fontId="13" fillId="0" borderId="7" xfId="30" applyFont="1" applyBorder="1" applyAlignment="1" applyProtection="1">
      <alignment horizontal="center" vertical="center" wrapText="1"/>
      <protection/>
    </xf>
    <xf numFmtId="0" fontId="15" fillId="0" borderId="7" xfId="30" applyFont="1" applyBorder="1" applyAlignment="1" applyProtection="1">
      <alignment horizontal="center" vertical="center" wrapText="1"/>
      <protection/>
    </xf>
    <xf numFmtId="0" fontId="16" fillId="0" borderId="1" xfId="30" applyFont="1" applyBorder="1" applyAlignment="1" applyProtection="1">
      <alignment horizontal="left" vertical="center" wrapText="1"/>
      <protection/>
    </xf>
    <xf numFmtId="0" fontId="15" fillId="0" borderId="7" xfId="30" applyFont="1" applyBorder="1" applyAlignment="1" applyProtection="1">
      <alignment horizontal="center" wrapText="1"/>
      <protection/>
    </xf>
    <xf numFmtId="0" fontId="14" fillId="0" borderId="1" xfId="30" applyFont="1" applyBorder="1" applyAlignment="1" applyProtection="1">
      <alignment horizontal="left" vertical="center" wrapText="1"/>
      <protection/>
    </xf>
    <xf numFmtId="0" fontId="17" fillId="0" borderId="1" xfId="30" applyFont="1" applyBorder="1" applyAlignment="1" applyProtection="1">
      <alignment vertical="center" wrapText="1"/>
      <protection/>
    </xf>
    <xf numFmtId="0" fontId="13" fillId="0" borderId="20" xfId="30" applyFont="1" applyBorder="1" applyAlignment="1" applyProtection="1">
      <alignment vertical="center" wrapText="1"/>
      <protection/>
    </xf>
    <xf numFmtId="49" fontId="13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0" fontId="13" fillId="0" borderId="5" xfId="30" applyFont="1" applyBorder="1" applyAlignment="1" applyProtection="1">
      <alignment vertical="center" wrapText="1"/>
      <protection/>
    </xf>
    <xf numFmtId="0" fontId="12" fillId="0" borderId="3" xfId="30" applyFont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vertical="center" wrapText="1"/>
      <protection/>
    </xf>
    <xf numFmtId="0" fontId="13" fillId="0" borderId="0" xfId="3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30" applyNumberFormat="1" applyFont="1" applyBorder="1" applyAlignment="1" applyProtection="1">
      <alignment vertical="center"/>
      <protection/>
    </xf>
    <xf numFmtId="1" fontId="11" fillId="0" borderId="1" xfId="30" applyNumberFormat="1" applyFont="1" applyBorder="1" applyProtection="1">
      <alignment/>
      <protection/>
    </xf>
    <xf numFmtId="1" fontId="10" fillId="7" borderId="8" xfId="28" applyNumberFormat="1" applyFont="1" applyFill="1" applyBorder="1" applyAlignment="1" applyProtection="1">
      <alignment vertical="top" wrapText="1"/>
      <protection locked="0"/>
    </xf>
    <xf numFmtId="1" fontId="10" fillId="7" borderId="3" xfId="28" applyNumberFormat="1" applyFont="1" applyFill="1" applyBorder="1" applyAlignment="1" applyProtection="1">
      <alignment vertical="top" wrapText="1"/>
      <protection locked="0"/>
    </xf>
    <xf numFmtId="0" fontId="13" fillId="0" borderId="0" xfId="29" applyFont="1" applyAlignment="1" applyProtection="1">
      <alignment wrapText="1"/>
      <protection locked="0"/>
    </xf>
    <xf numFmtId="0" fontId="13" fillId="0" borderId="0" xfId="29" applyFont="1" applyFill="1" applyAlignment="1" applyProtection="1">
      <alignment wrapText="1"/>
      <protection locked="0"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2" fillId="0" borderId="0" xfId="29" applyFont="1" applyFill="1" applyBorder="1" applyAlignment="1" applyProtection="1">
      <alignment horizontal="centerContinuous" vertical="center" wrapText="1"/>
      <protection locked="0"/>
    </xf>
    <xf numFmtId="0" fontId="7" fillId="0" borderId="0" xfId="28" applyFont="1" applyFill="1" applyAlignment="1" applyProtection="1">
      <alignment vertical="top"/>
      <protection locked="0"/>
    </xf>
    <xf numFmtId="0" fontId="7" fillId="0" borderId="0" xfId="28" applyFont="1" applyFill="1" applyAlignment="1" applyProtection="1">
      <alignment vertical="top" wrapText="1"/>
      <protection locked="0"/>
    </xf>
    <xf numFmtId="0" fontId="12" fillId="0" borderId="0" xfId="29" applyFont="1" applyFill="1" applyBorder="1" applyAlignment="1" applyProtection="1">
      <alignment horizontal="right" vertical="center" wrapText="1"/>
      <protection locked="0"/>
    </xf>
    <xf numFmtId="1" fontId="13" fillId="0" borderId="0" xfId="29" applyNumberFormat="1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Continuous" wrapText="1"/>
      <protection/>
    </xf>
    <xf numFmtId="0" fontId="13" fillId="0" borderId="0" xfId="29" applyFont="1" applyAlignment="1" applyProtection="1">
      <alignment horizontal="center" wrapText="1"/>
      <protection/>
    </xf>
    <xf numFmtId="0" fontId="12" fillId="0" borderId="0" xfId="29" applyFont="1" applyAlignment="1" applyProtection="1">
      <alignment wrapText="1"/>
      <protection/>
    </xf>
    <xf numFmtId="0" fontId="12" fillId="0" borderId="1" xfId="29" applyFont="1" applyBorder="1" applyAlignment="1" applyProtection="1">
      <alignment horizontal="center" vertical="center" wrapText="1"/>
      <protection/>
    </xf>
    <xf numFmtId="14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3" fillId="0" borderId="0" xfId="29" applyFont="1" applyBorder="1" applyAlignment="1" applyProtection="1">
      <alignment horizontal="center" wrapText="1"/>
      <protection/>
    </xf>
    <xf numFmtId="49" fontId="12" fillId="0" borderId="1" xfId="29" applyNumberFormat="1" applyFont="1" applyFill="1" applyBorder="1" applyAlignment="1" applyProtection="1">
      <alignment horizontal="center" vertical="center" wrapText="1"/>
      <protection/>
    </xf>
    <xf numFmtId="0" fontId="15" fillId="0" borderId="1" xfId="29" applyFont="1" applyBorder="1" applyAlignment="1" applyProtection="1">
      <alignment wrapText="1"/>
      <protection/>
    </xf>
    <xf numFmtId="49" fontId="15" fillId="0" borderId="1" xfId="29" applyNumberFormat="1" applyFont="1" applyBorder="1" applyAlignment="1" applyProtection="1">
      <alignment wrapText="1"/>
      <protection/>
    </xf>
    <xf numFmtId="0" fontId="13" fillId="0" borderId="1" xfId="29" applyFont="1" applyBorder="1" applyAlignment="1" applyProtection="1">
      <alignment wrapText="1"/>
      <protection/>
    </xf>
    <xf numFmtId="49" fontId="13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3" fillId="0" borderId="1" xfId="29" applyNumberFormat="1" applyFont="1" applyFill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right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1" fontId="13" fillId="0" borderId="1" xfId="29" applyNumberFormat="1" applyFont="1" applyFill="1" applyBorder="1" applyAlignment="1" applyProtection="1">
      <alignment wrapText="1"/>
      <protection/>
    </xf>
    <xf numFmtId="0" fontId="12" fillId="0" borderId="1" xfId="29" applyFont="1" applyBorder="1" applyAlignment="1" applyProtection="1">
      <alignment wrapText="1"/>
      <protection/>
    </xf>
    <xf numFmtId="49" fontId="13" fillId="0" borderId="0" xfId="29" applyNumberFormat="1" applyFont="1" applyBorder="1" applyAlignment="1" applyProtection="1">
      <alignment wrapText="1"/>
      <protection/>
    </xf>
    <xf numFmtId="1" fontId="13" fillId="0" borderId="0" xfId="29" applyNumberFormat="1" applyFont="1" applyFill="1" applyBorder="1" applyAlignment="1" applyProtection="1">
      <alignment wrapText="1"/>
      <protection/>
    </xf>
    <xf numFmtId="0" fontId="11" fillId="0" borderId="0" xfId="29" applyFont="1" applyFill="1" applyAlignment="1" applyProtection="1">
      <alignment wrapText="1"/>
      <protection/>
    </xf>
    <xf numFmtId="0" fontId="12" fillId="0" borderId="0" xfId="29" applyFont="1" applyAlignment="1" applyProtection="1">
      <alignment horizontal="center"/>
      <protection/>
    </xf>
    <xf numFmtId="1" fontId="13" fillId="0" borderId="1" xfId="31" applyNumberFormat="1" applyFont="1" applyFill="1" applyBorder="1" applyAlignment="1" applyProtection="1">
      <alignment vertical="center"/>
      <protection/>
    </xf>
    <xf numFmtId="1" fontId="13" fillId="0" borderId="3" xfId="31" applyNumberFormat="1" applyFont="1" applyFill="1" applyBorder="1" applyAlignment="1" applyProtection="1">
      <alignment vertical="center"/>
      <protection/>
    </xf>
    <xf numFmtId="0" fontId="12" fillId="0" borderId="0" xfId="31" applyFont="1" applyBorder="1" applyAlignment="1" applyProtection="1">
      <alignment vertical="center" wrapText="1"/>
      <protection locked="0"/>
    </xf>
    <xf numFmtId="49" fontId="12" fillId="0" borderId="0" xfId="31" applyNumberFormat="1" applyFont="1" applyBorder="1" applyAlignment="1" applyProtection="1">
      <alignment horizontal="center" vertical="center" wrapText="1"/>
      <protection locked="0"/>
    </xf>
    <xf numFmtId="0" fontId="13" fillId="0" borderId="0" xfId="31" applyFont="1" applyBorder="1" applyProtection="1">
      <alignment/>
      <protection locked="0"/>
    </xf>
    <xf numFmtId="3" fontId="13" fillId="0" borderId="0" xfId="31" applyNumberFormat="1" applyFont="1" applyBorder="1" applyProtection="1">
      <alignment/>
      <protection locked="0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Border="1" applyProtection="1">
      <alignment/>
      <protection locked="0"/>
    </xf>
    <xf numFmtId="0" fontId="13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centerContinuous"/>
      <protection locked="0"/>
    </xf>
    <xf numFmtId="0" fontId="13" fillId="0" borderId="0" xfId="26" applyFont="1" applyProtection="1">
      <alignment/>
      <protection locked="0"/>
    </xf>
    <xf numFmtId="0" fontId="21" fillId="0" borderId="0" xfId="27" applyFont="1" applyProtection="1">
      <alignment/>
      <protection locked="0"/>
    </xf>
    <xf numFmtId="0" fontId="12" fillId="0" borderId="0" xfId="26" applyFont="1" applyAlignment="1" applyProtection="1">
      <alignment horizontal="left" vertical="center" wrapText="1"/>
      <protection locked="0"/>
    </xf>
    <xf numFmtId="0" fontId="13" fillId="0" borderId="0" xfId="26" applyFont="1" applyAlignment="1" applyProtection="1">
      <alignment horizontal="left" vertical="center" wrapText="1"/>
      <protection locked="0"/>
    </xf>
    <xf numFmtId="0" fontId="12" fillId="0" borderId="0" xfId="26" applyFont="1" applyAlignment="1" applyProtection="1">
      <alignment vertical="justify"/>
      <protection locked="0"/>
    </xf>
    <xf numFmtId="0" fontId="12" fillId="0" borderId="0" xfId="26" applyFont="1" applyAlignment="1" applyProtection="1">
      <alignment horizontal="center"/>
      <protection locked="0"/>
    </xf>
    <xf numFmtId="0" fontId="12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Border="1" applyAlignment="1" applyProtection="1">
      <alignment vertical="justify" wrapText="1"/>
      <protection locked="0"/>
    </xf>
    <xf numFmtId="0" fontId="13" fillId="0" borderId="0" xfId="26" applyFont="1" applyAlignment="1" applyProtection="1">
      <alignment vertical="center" wrapText="1"/>
      <protection locked="0"/>
    </xf>
    <xf numFmtId="0" fontId="12" fillId="0" borderId="0" xfId="26" applyFo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0" fontId="12" fillId="0" borderId="0" xfId="26" applyFont="1" applyBorder="1" applyAlignment="1" applyProtection="1">
      <alignment horizontal="centerContinuous"/>
      <protection locked="0"/>
    </xf>
    <xf numFmtId="0" fontId="21" fillId="0" borderId="0" xfId="27" applyFont="1" applyAlignment="1" applyProtection="1">
      <alignment/>
      <protection locked="0"/>
    </xf>
    <xf numFmtId="0" fontId="12" fillId="0" borderId="1" xfId="26" applyFont="1" applyBorder="1" applyAlignment="1" applyProtection="1">
      <alignment horizontal="centerContinuous" vertical="center" wrapText="1"/>
      <protection/>
    </xf>
    <xf numFmtId="0" fontId="12" fillId="0" borderId="1" xfId="26" applyFont="1" applyBorder="1" applyAlignment="1" applyProtection="1">
      <alignment horizontal="center" vertical="center" wrapText="1"/>
      <protection/>
    </xf>
    <xf numFmtId="49" fontId="12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Alignment="1" applyProtection="1">
      <alignment horizontal="centerContinuous"/>
      <protection/>
    </xf>
    <xf numFmtId="0" fontId="12" fillId="0" borderId="1" xfId="26" applyFont="1" applyBorder="1" applyAlignment="1" applyProtection="1">
      <alignment horizontal="center"/>
      <protection/>
    </xf>
    <xf numFmtId="0" fontId="12" fillId="0" borderId="1" xfId="26" applyFont="1" applyBorder="1" applyAlignment="1" applyProtection="1">
      <alignment wrapText="1"/>
      <protection/>
    </xf>
    <xf numFmtId="0" fontId="12" fillId="0" borderId="1" xfId="26" applyFont="1" applyBorder="1" applyAlignment="1" applyProtection="1">
      <alignment vertical="justify" wrapText="1"/>
      <protection/>
    </xf>
    <xf numFmtId="49" fontId="12" fillId="2" borderId="1" xfId="26" applyNumberFormat="1" applyFont="1" applyFill="1" applyBorder="1" applyAlignment="1" applyProtection="1">
      <alignment vertical="justify" wrapText="1"/>
      <protection/>
    </xf>
    <xf numFmtId="0" fontId="13" fillId="2" borderId="1" xfId="26" applyFont="1" applyFill="1" applyBorder="1" applyAlignment="1" applyProtection="1">
      <alignment horizontal="left" vertical="center" wrapText="1"/>
      <protection/>
    </xf>
    <xf numFmtId="0" fontId="13" fillId="0" borderId="1" xfId="26" applyFont="1" applyBorder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0" fontId="15" fillId="0" borderId="1" xfId="26" applyFont="1" applyBorder="1" applyAlignment="1" applyProtection="1">
      <alignment horizontal="right"/>
      <protection/>
    </xf>
    <xf numFmtId="49" fontId="15" fillId="0" borderId="1" xfId="26" applyNumberFormat="1" applyFont="1" applyBorder="1" applyAlignment="1" applyProtection="1">
      <alignment horizontal="center" vertical="center" wrapText="1"/>
      <protection/>
    </xf>
    <xf numFmtId="0" fontId="12" fillId="0" borderId="1" xfId="26" applyFont="1" applyBorder="1" applyProtection="1">
      <alignment/>
      <protection/>
    </xf>
    <xf numFmtId="0" fontId="12" fillId="0" borderId="1" xfId="26" applyFont="1" applyBorder="1" applyAlignment="1" applyProtection="1">
      <alignment horizontal="left"/>
      <protection/>
    </xf>
    <xf numFmtId="0" fontId="12" fillId="0" borderId="1" xfId="26" applyFont="1" applyBorder="1" applyAlignment="1" applyProtection="1">
      <alignment vertical="top" wrapText="1"/>
      <protection/>
    </xf>
    <xf numFmtId="0" fontId="12" fillId="0" borderId="1" xfId="26" applyFont="1" applyBorder="1" applyAlignment="1" applyProtection="1">
      <alignment horizontal="left" vertical="center" wrapText="1"/>
      <protection/>
    </xf>
    <xf numFmtId="0" fontId="13" fillId="0" borderId="1" xfId="26" applyFont="1" applyBorder="1" applyAlignment="1" applyProtection="1">
      <alignment wrapText="1"/>
      <protection/>
    </xf>
    <xf numFmtId="0" fontId="13" fillId="0" borderId="1" xfId="26" applyFont="1" applyBorder="1" applyAlignment="1" applyProtection="1">
      <alignment horizontal="left" vertical="center" wrapText="1"/>
      <protection/>
    </xf>
    <xf numFmtId="49" fontId="15" fillId="0" borderId="4" xfId="26" applyNumberFormat="1" applyFont="1" applyBorder="1" applyAlignment="1" applyProtection="1">
      <alignment horizontal="center" vertical="center" wrapText="1"/>
      <protection/>
    </xf>
    <xf numFmtId="0" fontId="12" fillId="0" borderId="3" xfId="26" applyFont="1" applyBorder="1" applyAlignment="1" applyProtection="1">
      <alignment vertical="justify" wrapText="1"/>
      <protection/>
    </xf>
    <xf numFmtId="49" fontId="13" fillId="2" borderId="3" xfId="26" applyNumberFormat="1" applyFont="1" applyFill="1" applyBorder="1" applyAlignment="1" applyProtection="1">
      <alignment horizontal="center" vertical="center" wrapText="1"/>
      <protection/>
    </xf>
    <xf numFmtId="0" fontId="23" fillId="0" borderId="1" xfId="26" applyFont="1" applyBorder="1" applyAlignment="1" applyProtection="1">
      <alignment vertical="justify"/>
      <protection/>
    </xf>
    <xf numFmtId="49" fontId="13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1" xfId="26" applyFont="1" applyBorder="1" applyAlignment="1" applyProtection="1">
      <alignment vertical="justify"/>
      <protection/>
    </xf>
    <xf numFmtId="1" fontId="13" fillId="2" borderId="7" xfId="26" applyNumberFormat="1" applyFont="1" applyFill="1" applyBorder="1" applyAlignment="1" applyProtection="1">
      <alignment horizontal="center" vertical="center" wrapText="1"/>
      <protection/>
    </xf>
    <xf numFmtId="1" fontId="13" fillId="0" borderId="0" xfId="26" applyNumberFormat="1" applyFont="1" applyAlignment="1" applyProtection="1">
      <alignment vertical="center" wrapText="1"/>
      <protection locked="0"/>
    </xf>
    <xf numFmtId="1" fontId="13" fillId="0" borderId="0" xfId="26" applyNumberFormat="1" applyFont="1" applyAlignment="1" applyProtection="1">
      <alignment horizontal="left" vertical="center" wrapText="1"/>
      <protection locked="0"/>
    </xf>
    <xf numFmtId="0" fontId="13" fillId="0" borderId="0" xfId="23" applyFont="1" applyAlignment="1" applyProtection="1">
      <alignment horizontal="left" vertical="center" wrapText="1"/>
      <protection locked="0"/>
    </xf>
    <xf numFmtId="49" fontId="13" fillId="0" borderId="0" xfId="23" applyNumberFormat="1" applyFont="1" applyAlignment="1" applyProtection="1">
      <alignment horizontal="left" vertical="center" wrapText="1"/>
      <protection locked="0"/>
    </xf>
    <xf numFmtId="0" fontId="13" fillId="0" borderId="0" xfId="23" applyFont="1" applyProtection="1">
      <alignment/>
      <protection locked="0"/>
    </xf>
    <xf numFmtId="49" fontId="13" fillId="0" borderId="0" xfId="27" applyNumberFormat="1" applyFont="1" applyProtection="1">
      <alignment/>
      <protection locked="0"/>
    </xf>
    <xf numFmtId="0" fontId="12" fillId="0" borderId="3" xfId="23" applyFont="1" applyBorder="1" applyAlignment="1" applyProtection="1">
      <alignment horizontal="centerContinuous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1" fontId="12" fillId="0" borderId="7" xfId="23" applyNumberFormat="1" applyFont="1" applyBorder="1" applyAlignment="1" applyProtection="1">
      <alignment horizontal="centerContinuous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Border="1" applyAlignment="1" applyProtection="1">
      <alignment horizontal="left" vertical="center" wrapText="1"/>
      <protection/>
    </xf>
    <xf numFmtId="49" fontId="12" fillId="0" borderId="0" xfId="23" applyNumberFormat="1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3" fillId="0" borderId="1" xfId="23" applyFont="1" applyBorder="1" applyAlignment="1" applyProtection="1">
      <alignment horizontal="right"/>
      <protection/>
    </xf>
    <xf numFmtId="0" fontId="13" fillId="0" borderId="1" xfId="23" applyFont="1" applyBorder="1" applyAlignment="1" applyProtection="1">
      <alignment vertical="center" wrapText="1"/>
      <protection/>
    </xf>
    <xf numFmtId="49" fontId="23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 quotePrefix="1">
      <alignment horizontal="left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2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center"/>
      <protection/>
    </xf>
    <xf numFmtId="0" fontId="15" fillId="0" borderId="1" xfId="23" applyFont="1" applyBorder="1" applyAlignment="1" applyProtection="1">
      <alignment horizontal="left" vertical="center" wrapText="1"/>
      <protection/>
    </xf>
    <xf numFmtId="0" fontId="15" fillId="0" borderId="0" xfId="23" applyFont="1" applyBorder="1" applyAlignment="1" applyProtection="1">
      <alignment horizontal="left" vertical="center" wrapText="1"/>
      <protection/>
    </xf>
    <xf numFmtId="49" fontId="15" fillId="0" borderId="0" xfId="23" applyNumberFormat="1" applyFont="1" applyBorder="1" applyAlignment="1" applyProtection="1">
      <alignment horizontal="left" vertical="center" wrapText="1"/>
      <protection/>
    </xf>
    <xf numFmtId="0" fontId="12" fillId="0" borderId="0" xfId="23" applyFont="1" applyAlignment="1" applyProtection="1">
      <alignment horizontal="center" vertical="center"/>
      <protection locked="0"/>
    </xf>
    <xf numFmtId="49" fontId="12" fillId="0" borderId="0" xfId="23" applyNumberFormat="1" applyFont="1" applyAlignment="1" applyProtection="1">
      <alignment horizontal="center" vertical="center"/>
      <protection locked="0"/>
    </xf>
    <xf numFmtId="1" fontId="12" fillId="0" borderId="0" xfId="23" applyNumberFormat="1" applyFont="1" applyAlignment="1" applyProtection="1">
      <alignment horizontal="center" vertical="center"/>
      <protection locked="0"/>
    </xf>
    <xf numFmtId="1" fontId="21" fillId="0" borderId="0" xfId="27" applyNumberFormat="1" applyFont="1" applyProtection="1">
      <alignment/>
      <protection locked="0"/>
    </xf>
    <xf numFmtId="0" fontId="12" fillId="0" borderId="0" xfId="23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left" vertical="center" wrapText="1"/>
      <protection locked="0"/>
    </xf>
    <xf numFmtId="1" fontId="13" fillId="0" borderId="0" xfId="23" applyNumberFormat="1" applyFont="1" applyAlignment="1" applyProtection="1">
      <alignment horizontal="left" vertical="center" wrapText="1"/>
      <protection locked="0"/>
    </xf>
    <xf numFmtId="0" fontId="12" fillId="0" borderId="0" xfId="23" applyFont="1" applyProtection="1">
      <alignment/>
      <protection locked="0"/>
    </xf>
    <xf numFmtId="0" fontId="13" fillId="0" borderId="0" xfId="24" applyFont="1" applyAlignment="1" applyProtection="1">
      <alignment vertical="center" wrapText="1"/>
      <protection locked="0"/>
    </xf>
    <xf numFmtId="49" fontId="13" fillId="0" borderId="0" xfId="24" applyNumberFormat="1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vertical="center" wrapText="1"/>
      <protection locked="0"/>
    </xf>
    <xf numFmtId="0" fontId="12" fillId="0" borderId="0" xfId="24" applyFont="1" applyAlignment="1" applyProtection="1">
      <alignment horizontal="centerContinuous" vertical="center" wrapText="1"/>
      <protection locked="0"/>
    </xf>
    <xf numFmtId="0" fontId="12" fillId="0" borderId="0" xfId="24" applyFont="1" applyAlignment="1" applyProtection="1">
      <alignment horizontal="center" vertical="center" wrapText="1"/>
      <protection locked="0"/>
    </xf>
    <xf numFmtId="49" fontId="21" fillId="0" borderId="0" xfId="27" applyNumberFormat="1" applyFont="1" applyProtection="1">
      <alignment/>
      <protection locked="0"/>
    </xf>
    <xf numFmtId="0" fontId="12" fillId="0" borderId="0" xfId="24" applyFont="1" applyProtection="1">
      <alignment/>
      <protection locked="0"/>
    </xf>
    <xf numFmtId="0" fontId="12" fillId="0" borderId="0" xfId="26" applyFont="1" applyBorder="1" applyAlignment="1" applyProtection="1">
      <alignment vertical="justify"/>
      <protection locked="0"/>
    </xf>
    <xf numFmtId="49" fontId="12" fillId="0" borderId="0" xfId="26" applyNumberFormat="1" applyFont="1" applyBorder="1" applyAlignment="1" applyProtection="1">
      <alignment vertical="justify" wrapText="1"/>
      <protection locked="0"/>
    </xf>
    <xf numFmtId="1" fontId="13" fillId="0" borderId="0" xfId="24" applyNumberFormat="1" applyFont="1" applyAlignment="1" applyProtection="1">
      <alignment horizontal="centerContinuous" vertical="center" wrapText="1"/>
      <protection/>
    </xf>
    <xf numFmtId="1" fontId="13" fillId="0" borderId="0" xfId="24" applyNumberFormat="1" applyFont="1" applyAlignment="1" applyProtection="1">
      <alignment vertical="center" wrapText="1"/>
      <protection locked="0"/>
    </xf>
    <xf numFmtId="0" fontId="20" fillId="0" borderId="0" xfId="27" applyFont="1" applyProtection="1">
      <alignment/>
      <protection/>
    </xf>
    <xf numFmtId="0" fontId="12" fillId="0" borderId="0" xfId="30" applyFont="1" applyBorder="1" applyAlignment="1" applyProtection="1">
      <alignment wrapText="1"/>
      <protection locked="0"/>
    </xf>
    <xf numFmtId="1" fontId="13" fillId="0" borderId="0" xfId="30" applyNumberFormat="1" applyFont="1" applyBorder="1" applyProtection="1">
      <alignment/>
      <protection locked="0"/>
    </xf>
    <xf numFmtId="0" fontId="12" fillId="0" borderId="0" xfId="30" applyFont="1" applyBorder="1" applyAlignment="1" applyProtection="1">
      <alignment horizontal="right" vertical="center" wrapText="1"/>
      <protection locked="0"/>
    </xf>
    <xf numFmtId="0" fontId="11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1" fontId="11" fillId="0" borderId="0" xfId="30" applyNumberFormat="1" applyFont="1" applyProtection="1">
      <alignment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1" fontId="5" fillId="0" borderId="1" xfId="25" applyNumberFormat="1" applyFont="1" applyBorder="1" applyAlignment="1">
      <alignment horizontal="right" vertical="center" wrapText="1"/>
      <protection/>
    </xf>
    <xf numFmtId="1" fontId="12" fillId="4" borderId="1" xfId="30" applyNumberFormat="1" applyFont="1" applyFill="1" applyBorder="1" applyAlignment="1" applyProtection="1">
      <alignment vertical="center"/>
      <protection locked="0"/>
    </xf>
    <xf numFmtId="0" fontId="10" fillId="0" borderId="0" xfId="28" applyFont="1" applyBorder="1" applyAlignment="1" applyProtection="1">
      <alignment vertical="top"/>
      <protection locked="0"/>
    </xf>
    <xf numFmtId="49" fontId="8" fillId="0" borderId="0" xfId="28" applyNumberFormat="1" applyFont="1" applyBorder="1" applyAlignment="1" applyProtection="1">
      <alignment vertical="top" wrapText="1"/>
      <protection locked="0"/>
    </xf>
    <xf numFmtId="1" fontId="10" fillId="0" borderId="0" xfId="28" applyNumberFormat="1" applyFont="1" applyBorder="1" applyAlignment="1" applyProtection="1">
      <alignment vertical="top" wrapText="1"/>
      <protection locked="0"/>
    </xf>
    <xf numFmtId="1" fontId="13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8" applyFont="1" applyFill="1" applyAlignment="1" applyProtection="1">
      <alignment horizontal="right"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1" fontId="12" fillId="0" borderId="1" xfId="26" applyNumberFormat="1" applyFont="1" applyBorder="1" applyAlignment="1" applyProtection="1">
      <alignment vertical="center" wrapText="1"/>
      <protection/>
    </xf>
    <xf numFmtId="1" fontId="10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5" fillId="0" borderId="1" xfId="25" applyNumberFormat="1" applyFont="1" applyFill="1" applyBorder="1" applyAlignment="1" applyProtection="1">
      <alignment horizontal="right" vertical="center" wrapText="1"/>
      <protection/>
    </xf>
    <xf numFmtId="0" fontId="25" fillId="6" borderId="1" xfId="28" applyFont="1" applyFill="1" applyBorder="1" applyAlignment="1" applyProtection="1">
      <alignment horizontal="left" vertical="top" wrapText="1"/>
      <protection/>
    </xf>
    <xf numFmtId="1" fontId="25" fillId="6" borderId="1" xfId="28" applyNumberFormat="1" applyFont="1" applyFill="1" applyBorder="1" applyAlignment="1" applyProtection="1">
      <alignment vertical="top" wrapText="1"/>
      <protection/>
    </xf>
    <xf numFmtId="0" fontId="25" fillId="6" borderId="28" xfId="28" applyFont="1" applyFill="1" applyBorder="1" applyAlignment="1" applyProtection="1">
      <alignment horizontal="left" vertical="top" wrapText="1"/>
      <protection/>
    </xf>
    <xf numFmtId="0" fontId="25" fillId="6" borderId="20" xfId="28" applyFont="1" applyFill="1" applyBorder="1" applyAlignment="1" applyProtection="1">
      <alignment vertical="top" wrapText="1"/>
      <protection/>
    </xf>
    <xf numFmtId="0" fontId="25" fillId="6" borderId="29" xfId="28" applyFont="1" applyFill="1" applyBorder="1" applyAlignment="1" applyProtection="1">
      <alignment vertical="top" wrapText="1"/>
      <protection/>
    </xf>
    <xf numFmtId="49" fontId="25" fillId="6" borderId="27" xfId="28" applyNumberFormat="1" applyFont="1" applyFill="1" applyBorder="1" applyAlignment="1" applyProtection="1">
      <alignment vertical="center" wrapText="1"/>
      <protection/>
    </xf>
    <xf numFmtId="0" fontId="25" fillId="6" borderId="1" xfId="28" applyFont="1" applyFill="1" applyBorder="1" applyAlignment="1" applyProtection="1">
      <alignment vertical="top" wrapText="1"/>
      <protection/>
    </xf>
    <xf numFmtId="0" fontId="4" fillId="0" borderId="0" xfId="25" applyFont="1" applyProtection="1">
      <alignment/>
      <protection locked="0"/>
    </xf>
    <xf numFmtId="49" fontId="4" fillId="0" borderId="0" xfId="25" applyNumberFormat="1" applyFont="1" applyProtection="1">
      <alignment/>
      <protection locked="0"/>
    </xf>
    <xf numFmtId="0" fontId="12" fillId="0" borderId="0" xfId="31" applyFont="1" applyBorder="1" applyAlignment="1" applyProtection="1">
      <alignment horizontal="left" wrapText="1"/>
      <protection locked="0"/>
    </xf>
    <xf numFmtId="0" fontId="13" fillId="0" borderId="1" xfId="26" applyFont="1" applyBorder="1" applyAlignment="1" applyProtection="1">
      <alignment/>
      <protection/>
    </xf>
    <xf numFmtId="49" fontId="13" fillId="0" borderId="1" xfId="26" applyNumberFormat="1" applyFont="1" applyBorder="1" applyAlignment="1" applyProtection="1">
      <alignment horizontal="center" vertical="center"/>
      <protection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1" fontId="13" fillId="3" borderId="1" xfId="26" applyNumberFormat="1" applyFont="1" applyFill="1" applyBorder="1" applyAlignment="1" applyProtection="1">
      <alignment horizontal="center" vertical="center"/>
      <protection locked="0"/>
    </xf>
    <xf numFmtId="0" fontId="21" fillId="0" borderId="0" xfId="27" applyFont="1" applyAlignment="1" applyProtection="1">
      <alignment/>
      <protection/>
    </xf>
    <xf numFmtId="0" fontId="12" fillId="0" borderId="0" xfId="24" applyFont="1" applyAlignment="1" applyProtection="1">
      <alignment horizontal="left" vertical="center" wrapText="1"/>
      <protection locked="0"/>
    </xf>
    <xf numFmtId="0" fontId="27" fillId="0" borderId="0" xfId="30" applyFont="1" applyAlignment="1" applyProtection="1">
      <alignment horizontal="left" wrapText="1"/>
      <protection locked="0"/>
    </xf>
    <xf numFmtId="3" fontId="12" fillId="0" borderId="7" xfId="30" applyNumberFormat="1" applyFont="1" applyFill="1" applyBorder="1" applyAlignment="1" applyProtection="1">
      <alignment vertical="center"/>
      <protection/>
    </xf>
    <xf numFmtId="0" fontId="13" fillId="0" borderId="23" xfId="28" applyFont="1" applyBorder="1" applyAlignment="1" applyProtection="1">
      <alignment horizontal="left" vertical="top" wrapText="1"/>
      <protection locked="0"/>
    </xf>
    <xf numFmtId="49" fontId="12" fillId="0" borderId="23" xfId="28" applyNumberFormat="1" applyFont="1" applyBorder="1" applyAlignment="1" applyProtection="1">
      <alignment horizontal="left" vertical="top" wrapText="1"/>
      <protection locked="0"/>
    </xf>
    <xf numFmtId="0" fontId="10" fillId="0" borderId="0" xfId="31" applyFont="1" applyAlignment="1" applyProtection="1">
      <alignment horizontal="left"/>
      <protection locked="0"/>
    </xf>
    <xf numFmtId="49" fontId="12" fillId="0" borderId="0" xfId="28" applyNumberFormat="1" applyFont="1" applyBorder="1" applyAlignment="1" applyProtection="1">
      <alignment horizontal="left" vertical="top" wrapText="1"/>
      <protection locked="0"/>
    </xf>
    <xf numFmtId="0" fontId="8" fillId="0" borderId="1" xfId="28" applyFont="1" applyBorder="1" applyAlignment="1" applyProtection="1">
      <alignment horizontal="left" vertical="top" wrapText="1"/>
      <protection locked="0"/>
    </xf>
    <xf numFmtId="0" fontId="8" fillId="0" borderId="1" xfId="28" applyFont="1" applyBorder="1" applyAlignment="1" applyProtection="1">
      <alignment horizontal="left" vertical="top"/>
      <protection locked="0"/>
    </xf>
    <xf numFmtId="0" fontId="13" fillId="0" borderId="0" xfId="26" applyFont="1" applyBorder="1" applyAlignment="1" applyProtection="1">
      <alignment horizontal="center" vertical="justify" wrapText="1"/>
      <protection locked="0"/>
    </xf>
    <xf numFmtId="49" fontId="12" fillId="0" borderId="0" xfId="26" applyNumberFormat="1" applyFont="1" applyAlignment="1" applyProtection="1">
      <alignment horizontal="center" vertical="justify"/>
      <protection locked="0"/>
    </xf>
    <xf numFmtId="49" fontId="12" fillId="0" borderId="0" xfId="26" applyNumberFormat="1" applyFont="1" applyBorder="1" applyAlignment="1" applyProtection="1">
      <alignment horizontal="center" vertical="justify"/>
      <protection locked="0"/>
    </xf>
    <xf numFmtId="0" fontId="10" fillId="0" borderId="0" xfId="26" applyFont="1" applyAlignment="1" applyProtection="1">
      <alignment horizontal="left"/>
      <protection locked="0"/>
    </xf>
    <xf numFmtId="0" fontId="21" fillId="0" borderId="0" xfId="27" applyFont="1" applyAlignment="1" applyProtection="1">
      <alignment horizontal="center"/>
      <protection/>
    </xf>
    <xf numFmtId="0" fontId="10" fillId="0" borderId="0" xfId="31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6" applyFont="1" applyAlignment="1" applyProtection="1">
      <alignment horizontal="left"/>
      <protection locked="0"/>
    </xf>
    <xf numFmtId="0" fontId="12" fillId="0" borderId="0" xfId="26" applyFont="1" applyBorder="1" applyAlignment="1" applyProtection="1">
      <alignment horizontal="left" vertical="justify" wrapText="1"/>
      <protection locked="0"/>
    </xf>
    <xf numFmtId="49" fontId="4" fillId="0" borderId="0" xfId="25" applyNumberFormat="1" applyFont="1" applyAlignment="1" applyProtection="1">
      <alignment horizontal="left" vertical="center" wrapText="1"/>
      <protection locked="0"/>
    </xf>
    <xf numFmtId="0" fontId="10" fillId="0" borderId="0" xfId="27" applyFont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/>
      <protection locked="0"/>
    </xf>
    <xf numFmtId="0" fontId="5" fillId="0" borderId="0" xfId="25" applyNumberFormat="1" applyFont="1" applyAlignment="1" applyProtection="1">
      <alignment horizontal="right" vertical="center" wrapText="1"/>
      <protection locked="0"/>
    </xf>
    <xf numFmtId="0" fontId="5" fillId="0" borderId="0" xfId="26" applyFont="1" applyAlignment="1" applyProtection="1">
      <alignment horizontal="right"/>
      <protection locked="0"/>
    </xf>
    <xf numFmtId="0" fontId="10" fillId="0" borderId="0" xfId="31" applyFont="1" applyAlignment="1" applyProtection="1">
      <alignment horizontal="right"/>
      <protection locked="0"/>
    </xf>
    <xf numFmtId="0" fontId="10" fillId="0" borderId="0" xfId="31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8" applyFont="1" applyBorder="1" applyAlignment="1" applyProtection="1">
      <alignment vertical="top"/>
      <protection locked="0"/>
    </xf>
    <xf numFmtId="14" fontId="8" fillId="0" borderId="1" xfId="28" applyNumberFormat="1" applyFont="1" applyBorder="1" applyAlignment="1" applyProtection="1">
      <alignment horizontal="left" vertical="top" wrapText="1"/>
      <protection locked="0"/>
    </xf>
    <xf numFmtId="1" fontId="13" fillId="4" borderId="1" xfId="26" applyNumberFormat="1" applyFont="1" applyFill="1" applyBorder="1" applyAlignment="1" applyProtection="1">
      <alignment vertical="center" wrapText="1"/>
      <protection locked="0"/>
    </xf>
    <xf numFmtId="14" fontId="11" fillId="0" borderId="0" xfId="29" applyNumberFormat="1" applyFont="1" applyAlignment="1" applyProtection="1">
      <alignment wrapText="1"/>
      <protection locked="0"/>
    </xf>
    <xf numFmtId="0" fontId="28" fillId="0" borderId="1" xfId="22" applyFont="1" applyBorder="1" applyAlignment="1" applyProtection="1">
      <alignment horizontal="left" vertical="center" wrapText="1"/>
      <protection locked="0"/>
    </xf>
    <xf numFmtId="2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12" fillId="3" borderId="7" xfId="30" applyNumberFormat="1" applyFont="1" applyFill="1" applyBorder="1" applyAlignment="1" applyProtection="1">
      <alignment vertical="center"/>
      <protection locked="0"/>
    </xf>
    <xf numFmtId="1" fontId="11" fillId="0" borderId="0" xfId="29" applyNumberFormat="1" applyFont="1" applyFill="1" applyAlignment="1" applyProtection="1">
      <alignment wrapText="1"/>
      <protection locked="0"/>
    </xf>
    <xf numFmtId="1" fontId="10" fillId="0" borderId="0" xfId="28" applyNumberFormat="1" applyFont="1" applyAlignment="1" applyProtection="1">
      <alignment vertical="top" wrapText="1"/>
      <protection locked="0"/>
    </xf>
    <xf numFmtId="0" fontId="12" fillId="0" borderId="14" xfId="26" applyFont="1" applyBorder="1" applyAlignment="1" applyProtection="1">
      <alignment horizontal="center" vertical="center" wrapText="1"/>
      <protection/>
    </xf>
    <xf numFmtId="0" fontId="12" fillId="0" borderId="16" xfId="26" applyFont="1" applyBorder="1" applyAlignment="1" applyProtection="1">
      <alignment horizontal="center" vertical="center" wrapText="1"/>
      <protection/>
    </xf>
    <xf numFmtId="49" fontId="12" fillId="0" borderId="4" xfId="26" applyNumberFormat="1" applyFont="1" applyBorder="1" applyAlignment="1" applyProtection="1">
      <alignment horizontal="center" vertical="center" wrapText="1"/>
      <protection/>
    </xf>
    <xf numFmtId="49" fontId="12" fillId="0" borderId="2" xfId="26" applyNumberFormat="1" applyFont="1" applyBorder="1" applyAlignment="1" applyProtection="1">
      <alignment horizontal="center" vertical="center" wrapText="1"/>
      <protection/>
    </xf>
    <xf numFmtId="0" fontId="13" fillId="0" borderId="0" xfId="26" applyFont="1" applyAlignment="1" applyProtection="1">
      <alignment horizontal="center"/>
      <protection locked="0"/>
    </xf>
    <xf numFmtId="0" fontId="8" fillId="0" borderId="0" xfId="28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27" fillId="0" borderId="0" xfId="30" applyFont="1" applyAlignment="1" applyProtection="1">
      <alignment horizontal="left" wrapText="1"/>
      <protection locked="0"/>
    </xf>
    <xf numFmtId="0" fontId="11" fillId="0" borderId="0" xfId="29" applyFont="1" applyFill="1" applyAlignment="1" applyProtection="1">
      <alignment horizontal="center" wrapText="1"/>
      <protection locked="0"/>
    </xf>
    <xf numFmtId="0" fontId="12" fillId="0" borderId="0" xfId="31" applyFont="1" applyAlignment="1">
      <alignment horizontal="center" wrapText="1"/>
      <protection/>
    </xf>
    <xf numFmtId="0" fontId="12" fillId="0" borderId="0" xfId="31" applyFont="1" applyBorder="1" applyAlignment="1" applyProtection="1">
      <alignment horizontal="left"/>
      <protection locked="0"/>
    </xf>
    <xf numFmtId="0" fontId="12" fillId="0" borderId="0" xfId="2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1" applyFont="1" applyAlignment="1">
      <alignment horizontal="left" vertical="top" wrapText="1"/>
      <protection/>
    </xf>
    <xf numFmtId="0" fontId="12" fillId="0" borderId="23" xfId="28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6" applyFont="1" applyBorder="1" applyAlignment="1" applyProtection="1">
      <alignment horizontal="center" vertical="center" wrapText="1"/>
      <protection/>
    </xf>
    <xf numFmtId="0" fontId="12" fillId="0" borderId="15" xfId="26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left"/>
      <protection locked="0"/>
    </xf>
    <xf numFmtId="0" fontId="13" fillId="0" borderId="0" xfId="26" applyFont="1" applyAlignment="1" applyProtection="1">
      <alignment horizontal="left"/>
      <protection locked="0"/>
    </xf>
    <xf numFmtId="0" fontId="12" fillId="0" borderId="4" xfId="26" applyFont="1" applyBorder="1" applyAlignment="1" applyProtection="1">
      <alignment horizontal="center" vertical="center" wrapText="1"/>
      <protection/>
    </xf>
    <xf numFmtId="0" fontId="12" fillId="0" borderId="2" xfId="26" applyFont="1" applyBorder="1" applyAlignment="1" applyProtection="1">
      <alignment horizontal="center" vertical="center" wrapText="1"/>
      <protection/>
    </xf>
    <xf numFmtId="0" fontId="5" fillId="0" borderId="0" xfId="26" applyFont="1" applyAlignment="1" applyProtection="1">
      <alignment horizontal="left"/>
      <protection locked="0"/>
    </xf>
    <xf numFmtId="0" fontId="13" fillId="0" borderId="0" xfId="26" applyFont="1" applyAlignment="1" applyProtection="1">
      <alignment horizontal="right"/>
      <protection locked="0"/>
    </xf>
    <xf numFmtId="0" fontId="13" fillId="0" borderId="0" xfId="26" applyFont="1" applyBorder="1" applyAlignment="1" applyProtection="1">
      <alignment horizontal="left" vertical="justify" wrapText="1"/>
      <protection locked="0"/>
    </xf>
    <xf numFmtId="0" fontId="13" fillId="0" borderId="0" xfId="26" applyFont="1" applyBorder="1" applyAlignment="1" applyProtection="1">
      <alignment horizontal="right" vertical="justify" wrapText="1"/>
      <protection locked="0"/>
    </xf>
    <xf numFmtId="0" fontId="4" fillId="0" borderId="0" xfId="26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3" applyFont="1" applyAlignment="1" applyProtection="1">
      <alignment horizontal="left" vertical="center" wrapText="1"/>
      <protection locked="0"/>
    </xf>
    <xf numFmtId="0" fontId="12" fillId="0" borderId="0" xfId="23" applyFont="1" applyBorder="1" applyAlignment="1" applyProtection="1">
      <alignment horizontal="left" vertical="center" wrapText="1"/>
      <protection locked="0"/>
    </xf>
    <xf numFmtId="49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6" applyFont="1" applyAlignment="1" applyProtection="1">
      <alignment horizontal="left" vertical="justify" wrapText="1"/>
      <protection locked="0"/>
    </xf>
    <xf numFmtId="0" fontId="12" fillId="0" borderId="0" xfId="26" applyFont="1" applyAlignment="1" applyProtection="1">
      <alignment horizontal="left" vertical="justify"/>
      <protection locked="0"/>
    </xf>
    <xf numFmtId="1" fontId="12" fillId="0" borderId="0" xfId="24" applyNumberFormat="1" applyFont="1" applyAlignment="1" applyProtection="1">
      <alignment horizontal="center" vertical="center" wrapText="1"/>
      <protection locked="0"/>
    </xf>
    <xf numFmtId="49" fontId="12" fillId="0" borderId="0" xfId="24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5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4-4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i\firmi\BCIH\KFN-otcheti\2008\30-03-2008\kon-3003\Konsol_03_2008_EK\konsol30-03-05\03-2005Konsol-reports_K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F%20BULGAR%20CZECH%20INVEST%20AD\KCKFB\2006\konsol_12_2006_god\12-2006_Konsol-reports_KCK_g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Булгар Чех Инвест Холдинг АД - Смолян</v>
          </cell>
        </row>
        <row r="4">
          <cell r="E4" t="str">
            <v>КОНСОЛИДИРАН </v>
          </cell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E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69">
      <selection activeCell="A108" sqref="A108"/>
    </sheetView>
  </sheetViews>
  <sheetFormatPr defaultColWidth="9.00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861</v>
      </c>
      <c r="F3" s="272" t="s">
        <v>2</v>
      </c>
      <c r="G3" s="225"/>
      <c r="H3" s="594"/>
    </row>
    <row r="4" spans="1:8" ht="28.5">
      <c r="A4" s="203" t="s">
        <v>3</v>
      </c>
      <c r="B4" s="582"/>
      <c r="C4" s="582"/>
      <c r="D4" s="583"/>
      <c r="E4" s="575" t="s">
        <v>862</v>
      </c>
      <c r="F4" s="223" t="s">
        <v>4</v>
      </c>
      <c r="G4" s="224"/>
      <c r="H4" s="594" t="s">
        <v>159</v>
      </c>
    </row>
    <row r="5" spans="1:8" ht="15">
      <c r="A5" s="203" t="s">
        <v>5</v>
      </c>
      <c r="B5" s="267"/>
      <c r="C5" s="267"/>
      <c r="D5" s="267"/>
      <c r="E5" s="595" t="s">
        <v>874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4" t="s">
        <v>16</v>
      </c>
      <c r="B9" s="284"/>
      <c r="C9" s="285"/>
      <c r="D9" s="286"/>
      <c r="E9" s="552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f>'справка №5'!R9</f>
        <v>192</v>
      </c>
      <c r="D11" s="204">
        <v>192</v>
      </c>
      <c r="E11" s="292" t="s">
        <v>22</v>
      </c>
      <c r="F11" s="297" t="s">
        <v>23</v>
      </c>
      <c r="G11" s="205">
        <v>1191</v>
      </c>
      <c r="H11" s="205">
        <v>1191</v>
      </c>
    </row>
    <row r="12" spans="1:8" ht="15">
      <c r="A12" s="290" t="s">
        <v>24</v>
      </c>
      <c r="B12" s="296" t="s">
        <v>25</v>
      </c>
      <c r="C12" s="204">
        <f>'справка №5'!R10</f>
        <v>2485</v>
      </c>
      <c r="D12" s="204">
        <v>2534</v>
      </c>
      <c r="E12" s="292" t="s">
        <v>26</v>
      </c>
      <c r="F12" s="297" t="s">
        <v>27</v>
      </c>
      <c r="G12" s="206">
        <v>1191</v>
      </c>
      <c r="H12" s="206">
        <v>1191</v>
      </c>
    </row>
    <row r="13" spans="1:8" ht="15">
      <c r="A13" s="290" t="s">
        <v>28</v>
      </c>
      <c r="B13" s="296" t="s">
        <v>29</v>
      </c>
      <c r="C13" s="204">
        <f>'справка №5'!R11</f>
        <v>107</v>
      </c>
      <c r="D13" s="204">
        <v>112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f>'справка №5'!R12</f>
        <v>716</v>
      </c>
      <c r="D14" s="204">
        <v>716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f>'справка №5'!R13</f>
        <v>62</v>
      </c>
      <c r="D15" s="204">
        <v>32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f>'справка №5'!R14</f>
        <v>122</v>
      </c>
      <c r="D16" s="204">
        <v>126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f>'справка №5'!R15</f>
        <v>56</v>
      </c>
      <c r="D17" s="204">
        <v>55</v>
      </c>
      <c r="E17" s="298" t="s">
        <v>46</v>
      </c>
      <c r="F17" s="300" t="s">
        <v>47</v>
      </c>
      <c r="G17" s="207">
        <f>G11+G14+G15+G16</f>
        <v>1191</v>
      </c>
      <c r="H17" s="207">
        <f>H11+H14+H15+H16</f>
        <v>1191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f>'справка №5'!R16</f>
        <v>31</v>
      </c>
      <c r="D18" s="204">
        <v>28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3771</v>
      </c>
      <c r="D19" s="208">
        <f>SUM(D11:D18)</f>
        <v>3795</v>
      </c>
      <c r="E19" s="292" t="s">
        <v>53</v>
      </c>
      <c r="F19" s="297" t="s">
        <v>54</v>
      </c>
      <c r="G19" s="205"/>
      <c r="H19" s="205"/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/>
      <c r="H20" s="211">
        <v>2</v>
      </c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3502</v>
      </c>
      <c r="H21" s="209">
        <f>SUM(H22:H24)</f>
        <v>3501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1951</v>
      </c>
      <c r="H22" s="205">
        <v>783</v>
      </c>
    </row>
    <row r="23" spans="1:13" ht="15">
      <c r="A23" s="290" t="s">
        <v>66</v>
      </c>
      <c r="B23" s="296" t="s">
        <v>67</v>
      </c>
      <c r="C23" s="204"/>
      <c r="D23" s="204"/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f>'справка №5'!R22</f>
        <v>6</v>
      </c>
      <c r="D24" s="204">
        <v>7</v>
      </c>
      <c r="E24" s="292" t="s">
        <v>72</v>
      </c>
      <c r="F24" s="297" t="s">
        <v>73</v>
      </c>
      <c r="G24" s="205">
        <v>1551</v>
      </c>
      <c r="H24" s="205">
        <v>2718</v>
      </c>
    </row>
    <row r="25" spans="1:18" ht="15">
      <c r="A25" s="290" t="s">
        <v>74</v>
      </c>
      <c r="B25" s="296" t="s">
        <v>75</v>
      </c>
      <c r="C25" s="204"/>
      <c r="D25" s="204">
        <v>0</v>
      </c>
      <c r="E25" s="308" t="s">
        <v>76</v>
      </c>
      <c r="F25" s="300" t="s">
        <v>77</v>
      </c>
      <c r="G25" s="207">
        <f>G19+G20+G21</f>
        <v>3502</v>
      </c>
      <c r="H25" s="207">
        <f>H19+H20+H21</f>
        <v>3503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f>'справка №5'!R24</f>
        <v>1</v>
      </c>
      <c r="D26" s="204">
        <v>2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7</v>
      </c>
      <c r="D27" s="208">
        <f>SUM(D23:D26)</f>
        <v>9</v>
      </c>
      <c r="E27" s="308" t="s">
        <v>83</v>
      </c>
      <c r="F27" s="297" t="s">
        <v>84</v>
      </c>
      <c r="G27" s="207">
        <f>SUM(G28:G30)</f>
        <v>985</v>
      </c>
      <c r="H27" s="207">
        <f>SUM(H28:H30)</f>
        <v>328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1973</v>
      </c>
      <c r="H28" s="205">
        <v>1285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-988</v>
      </c>
      <c r="H29" s="390">
        <v>-957</v>
      </c>
      <c r="M29" s="210"/>
    </row>
    <row r="30" spans="1:8" ht="15">
      <c r="A30" s="290" t="s">
        <v>90</v>
      </c>
      <c r="B30" s="296" t="s">
        <v>91</v>
      </c>
      <c r="C30" s="204">
        <f>'справка №5'!R39</f>
        <v>99</v>
      </c>
      <c r="D30" s="204">
        <v>99</v>
      </c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f>'справка №2-ОТЧЕТ ЗА ДОХОДИТE'!C39</f>
        <v>126.9</v>
      </c>
      <c r="H31" s="205">
        <v>711</v>
      </c>
      <c r="M31" s="210"/>
    </row>
    <row r="32" spans="1:15" ht="15">
      <c r="A32" s="290" t="s">
        <v>98</v>
      </c>
      <c r="B32" s="305" t="s">
        <v>99</v>
      </c>
      <c r="C32" s="208">
        <f>C30+C31</f>
        <v>99</v>
      </c>
      <c r="D32" s="208">
        <f>D30+D31</f>
        <v>99</v>
      </c>
      <c r="E32" s="298" t="s">
        <v>100</v>
      </c>
      <c r="F32" s="297" t="s">
        <v>101</v>
      </c>
      <c r="G32" s="390">
        <f>'справка №2-ОТЧЕТ ЗА ДОХОДИТE'!G39*-1</f>
        <v>0</v>
      </c>
      <c r="H32" s="390"/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1111.9</v>
      </c>
      <c r="H33" s="207">
        <f>H27+H31+H32</f>
        <v>1039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850</v>
      </c>
      <c r="B34" s="299" t="s">
        <v>105</v>
      </c>
      <c r="C34" s="208">
        <f>SUM(C35:C38)</f>
        <v>505</v>
      </c>
      <c r="D34" s="208">
        <f>SUM(D35:D38)</f>
        <v>522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/>
      <c r="D35" s="204">
        <f>'[2]справка №5'!S28</f>
        <v>0</v>
      </c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>
        <f>'[2]справка №5'!S29</f>
        <v>0</v>
      </c>
      <c r="E36" s="292" t="s">
        <v>110</v>
      </c>
      <c r="F36" s="316" t="s">
        <v>111</v>
      </c>
      <c r="G36" s="207">
        <f>G25+G17+G33</f>
        <v>5804.9</v>
      </c>
      <c r="H36" s="207">
        <f>H25+H17+H33</f>
        <v>5733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>
        <f>'справка №5'!R30</f>
        <v>459</v>
      </c>
      <c r="D37" s="204">
        <v>476</v>
      </c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f>'справка №5'!R31</f>
        <v>46</v>
      </c>
      <c r="D38" s="204">
        <v>46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3" t="s">
        <v>118</v>
      </c>
      <c r="F39" s="316" t="s">
        <v>119</v>
      </c>
      <c r="G39" s="211">
        <f>H39+'справка №2-ОТЧЕТ ЗА ДОХОДИТE'!C40+'справка №2-ОТЧЕТ ЗА ДОХОДИТE'!G40*-1</f>
        <v>781.8749154</v>
      </c>
      <c r="H39" s="211">
        <v>729</v>
      </c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3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>
        <v>151</v>
      </c>
      <c r="H43" s="205">
        <v>166</v>
      </c>
      <c r="M43" s="210"/>
    </row>
    <row r="44" spans="1:8" ht="15">
      <c r="A44" s="290" t="s">
        <v>132</v>
      </c>
      <c r="B44" s="319" t="s">
        <v>133</v>
      </c>
      <c r="C44" s="204">
        <v>8</v>
      </c>
      <c r="D44" s="204">
        <v>8</v>
      </c>
      <c r="E44" s="323" t="s">
        <v>134</v>
      </c>
      <c r="F44" s="297" t="s">
        <v>135</v>
      </c>
      <c r="G44" s="205"/>
      <c r="H44" s="205">
        <v>2</v>
      </c>
    </row>
    <row r="45" spans="1:15" ht="15">
      <c r="A45" s="290" t="s">
        <v>136</v>
      </c>
      <c r="B45" s="304" t="s">
        <v>137</v>
      </c>
      <c r="C45" s="208">
        <f>C34+C39+C44</f>
        <v>513</v>
      </c>
      <c r="D45" s="208">
        <f>D34+D39+D44</f>
        <v>530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>
        <v>210</v>
      </c>
      <c r="H46" s="205">
        <v>216</v>
      </c>
    </row>
    <row r="47" spans="1:13" ht="15">
      <c r="A47" s="290" t="s">
        <v>143</v>
      </c>
      <c r="B47" s="296" t="s">
        <v>144</v>
      </c>
      <c r="C47" s="204">
        <v>822</v>
      </c>
      <c r="D47" s="204">
        <v>819</v>
      </c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>
        <v>349</v>
      </c>
      <c r="D48" s="204">
        <v>199</v>
      </c>
      <c r="E48" s="292" t="s">
        <v>149</v>
      </c>
      <c r="F48" s="297" t="s">
        <v>150</v>
      </c>
      <c r="G48" s="205">
        <v>3</v>
      </c>
      <c r="H48" s="205">
        <v>3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364</v>
      </c>
      <c r="H49" s="207">
        <f>SUM(H43:H48)</f>
        <v>387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>
        <v>4</v>
      </c>
      <c r="D50" s="204">
        <v>1</v>
      </c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1175</v>
      </c>
      <c r="D51" s="208">
        <f>SUM(D47:D50)</f>
        <v>1019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2</v>
      </c>
      <c r="D54" s="204">
        <v>2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5567</v>
      </c>
      <c r="D55" s="208">
        <f>D19+D20+D21+D27+D32+D45+D51+D53+D54</f>
        <v>5454</v>
      </c>
      <c r="E55" s="292" t="s">
        <v>172</v>
      </c>
      <c r="F55" s="316" t="s">
        <v>173</v>
      </c>
      <c r="G55" s="207">
        <f>G49+G51+G52+G53+G54</f>
        <v>364</v>
      </c>
      <c r="H55" s="207">
        <f>H49+H51+H52+H53+H54</f>
        <v>387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5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8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754</v>
      </c>
      <c r="D58" s="204">
        <v>597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>
        <v>324</v>
      </c>
      <c r="D59" s="204">
        <v>283</v>
      </c>
      <c r="E59" s="306" t="s">
        <v>181</v>
      </c>
      <c r="F59" s="297" t="s">
        <v>182</v>
      </c>
      <c r="G59" s="205">
        <v>210</v>
      </c>
      <c r="H59" s="205">
        <v>146</v>
      </c>
      <c r="M59" s="210"/>
    </row>
    <row r="60" spans="1:8" ht="15">
      <c r="A60" s="290" t="s">
        <v>183</v>
      </c>
      <c r="B60" s="296" t="s">
        <v>184</v>
      </c>
      <c r="C60" s="204">
        <v>45</v>
      </c>
      <c r="D60" s="204">
        <v>48</v>
      </c>
      <c r="E60" s="292" t="s">
        <v>185</v>
      </c>
      <c r="F60" s="297" t="s">
        <v>186</v>
      </c>
      <c r="G60" s="205"/>
      <c r="H60" s="205">
        <v>0</v>
      </c>
    </row>
    <row r="61" spans="1:18" ht="15">
      <c r="A61" s="290" t="s">
        <v>187</v>
      </c>
      <c r="B61" s="299" t="s">
        <v>188</v>
      </c>
      <c r="C61" s="204">
        <v>495</v>
      </c>
      <c r="D61" s="204">
        <v>421</v>
      </c>
      <c r="E61" s="298" t="s">
        <v>189</v>
      </c>
      <c r="F61" s="327" t="s">
        <v>190</v>
      </c>
      <c r="G61" s="207">
        <f>SUM(G62:G68)</f>
        <v>1665</v>
      </c>
      <c r="H61" s="207">
        <f>SUM(H62:H68)</f>
        <v>1769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19</v>
      </c>
      <c r="H62" s="205">
        <v>19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>
        <v>321</v>
      </c>
      <c r="H63" s="205">
        <v>323</v>
      </c>
      <c r="M63" s="210"/>
    </row>
    <row r="64" spans="1:15" ht="15">
      <c r="A64" s="290" t="s">
        <v>51</v>
      </c>
      <c r="B64" s="304" t="s">
        <v>199</v>
      </c>
      <c r="C64" s="208">
        <f>SUM(C58:C63)</f>
        <v>1618</v>
      </c>
      <c r="D64" s="208">
        <f>SUM(D58:D63)</f>
        <v>1349</v>
      </c>
      <c r="E64" s="292" t="s">
        <v>200</v>
      </c>
      <c r="F64" s="297" t="s">
        <v>201</v>
      </c>
      <c r="G64" s="205">
        <v>734</v>
      </c>
      <c r="H64" s="205">
        <v>645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236</v>
      </c>
      <c r="H65" s="205">
        <v>369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231</v>
      </c>
      <c r="H66" s="205">
        <v>235</v>
      </c>
    </row>
    <row r="67" spans="1:8" ht="15">
      <c r="A67" s="290" t="s">
        <v>207</v>
      </c>
      <c r="B67" s="296" t="s">
        <v>208</v>
      </c>
      <c r="C67" s="204">
        <v>42</v>
      </c>
      <c r="D67" s="204">
        <v>42</v>
      </c>
      <c r="E67" s="292" t="s">
        <v>209</v>
      </c>
      <c r="F67" s="297" t="s">
        <v>210</v>
      </c>
      <c r="G67" s="205">
        <v>23</v>
      </c>
      <c r="H67" s="205">
        <v>27</v>
      </c>
    </row>
    <row r="68" spans="1:8" ht="15">
      <c r="A68" s="290" t="s">
        <v>211</v>
      </c>
      <c r="B68" s="296" t="s">
        <v>212</v>
      </c>
      <c r="C68" s="204">
        <f>658-92</f>
        <v>566</v>
      </c>
      <c r="D68" s="204">
        <v>716</v>
      </c>
      <c r="E68" s="292" t="s">
        <v>213</v>
      </c>
      <c r="F68" s="297" t="s">
        <v>214</v>
      </c>
      <c r="G68" s="205">
        <v>101</v>
      </c>
      <c r="H68" s="205">
        <v>151</v>
      </c>
    </row>
    <row r="69" spans="1:8" ht="15">
      <c r="A69" s="290" t="s">
        <v>215</v>
      </c>
      <c r="B69" s="296" t="s">
        <v>216</v>
      </c>
      <c r="C69" s="204">
        <v>9</v>
      </c>
      <c r="D69" s="204">
        <v>9</v>
      </c>
      <c r="E69" s="306" t="s">
        <v>78</v>
      </c>
      <c r="F69" s="297" t="s">
        <v>217</v>
      </c>
      <c r="G69" s="205">
        <v>142</v>
      </c>
      <c r="H69" s="205">
        <v>133</v>
      </c>
    </row>
    <row r="70" spans="1:8" ht="15">
      <c r="A70" s="290" t="s">
        <v>218</v>
      </c>
      <c r="B70" s="296" t="s">
        <v>219</v>
      </c>
      <c r="C70" s="204">
        <v>89</v>
      </c>
      <c r="D70" s="204">
        <v>244</v>
      </c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/>
      <c r="D71" s="204"/>
      <c r="E71" s="308" t="s">
        <v>46</v>
      </c>
      <c r="F71" s="328" t="s">
        <v>224</v>
      </c>
      <c r="G71" s="214">
        <f>G59+G60+G61+G69+G70</f>
        <v>2017</v>
      </c>
      <c r="H71" s="214">
        <f>H59+H60+H61+H69+H70</f>
        <v>2048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47</v>
      </c>
      <c r="D72" s="204">
        <v>166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298</v>
      </c>
      <c r="D74" s="204">
        <v>324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1051</v>
      </c>
      <c r="D75" s="208">
        <f>SUM(D67:D74)</f>
        <v>1501</v>
      </c>
      <c r="E75" s="306" t="s">
        <v>160</v>
      </c>
      <c r="F75" s="300" t="s">
        <v>234</v>
      </c>
      <c r="G75" s="205">
        <v>204</v>
      </c>
      <c r="H75" s="205">
        <v>204</v>
      </c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2221</v>
      </c>
      <c r="H79" s="215">
        <f>H71+H74+H75+H76</f>
        <v>2252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>
        <v>0</v>
      </c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>
        <v>14</v>
      </c>
      <c r="D83" s="204">
        <v>14</v>
      </c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14</v>
      </c>
      <c r="D84" s="208">
        <f>D83+D82+D78</f>
        <v>14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84</v>
      </c>
      <c r="D87" s="204">
        <v>68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838</v>
      </c>
      <c r="D88" s="204">
        <v>715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>
        <v>0</v>
      </c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922</v>
      </c>
      <c r="D91" s="208">
        <f>SUM(D87:D90)</f>
        <v>783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/>
      <c r="D92" s="204">
        <v>0</v>
      </c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3605</v>
      </c>
      <c r="D93" s="208">
        <f>D64+D75+D84+D91+D92</f>
        <v>3647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268</v>
      </c>
      <c r="B94" s="343" t="s">
        <v>269</v>
      </c>
      <c r="C94" s="217">
        <f>C93+C55</f>
        <v>9172</v>
      </c>
      <c r="D94" s="217">
        <f>D93+D55</f>
        <v>9101</v>
      </c>
      <c r="E94" s="557" t="s">
        <v>270</v>
      </c>
      <c r="F94" s="344" t="s">
        <v>271</v>
      </c>
      <c r="G94" s="218">
        <f>G36+G39+G55+G79</f>
        <v>9171.7749154</v>
      </c>
      <c r="H94" s="218">
        <f>H36+H39+H55+H79</f>
        <v>9101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851</v>
      </c>
      <c r="B96" s="538"/>
      <c r="C96" s="203"/>
      <c r="D96" s="203"/>
      <c r="E96" s="539"/>
      <c r="F96" s="223"/>
      <c r="G96" s="602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602">
        <f>G94-C94</f>
        <v>-0.2250846000006277</v>
      </c>
      <c r="H97" s="225"/>
      <c r="M97" s="210"/>
    </row>
    <row r="98" spans="1:13" ht="15">
      <c r="A98" s="78" t="s">
        <v>873</v>
      </c>
      <c r="B98" s="538"/>
      <c r="C98" s="608" t="s">
        <v>819</v>
      </c>
      <c r="D98" s="608"/>
      <c r="E98" s="608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608" t="s">
        <v>781</v>
      </c>
      <c r="D100" s="609"/>
      <c r="E100" s="609"/>
    </row>
    <row r="101" ht="15">
      <c r="D101" s="1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20:D21 G62:H70 C30:D30 C23:D26 C40:D44 C35:D38 C53:D54 C47:D50 C58:D63 C79:D83 C67:D74 C92:D92 C87:D90 G74:H76 G11:H13 G31:H31 G22:H24 G19:H19 G28:H28 G51:H54 G43:H48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5" bottom="0.38" header="0.25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R362"/>
  <sheetViews>
    <sheetView workbookViewId="0" topLeftCell="A5">
      <selection activeCell="C23" sqref="C2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24">
      <c r="A2" s="6" t="s">
        <v>1</v>
      </c>
      <c r="B2" s="532"/>
      <c r="C2" s="532"/>
      <c r="D2" s="532"/>
      <c r="E2" s="532" t="str">
        <f>'[1]справка №1-БАЛАНС'!E3</f>
        <v>Булгар Чех Инвест Холдинг АД - Смолян</v>
      </c>
      <c r="F2" s="612" t="s">
        <v>2</v>
      </c>
      <c r="G2" s="612"/>
      <c r="H2" s="352">
        <f>'[1]справка №1-БАЛАНС'!H3</f>
        <v>0</v>
      </c>
    </row>
    <row r="3" spans="1:8" ht="15">
      <c r="A3" s="6" t="s">
        <v>273</v>
      </c>
      <c r="B3" s="532"/>
      <c r="C3" s="532"/>
      <c r="D3" s="532"/>
      <c r="E3" s="532" t="str">
        <f>'[1]справка №1-БАЛАНС'!E4</f>
        <v>КОНСОЛИДИРАН </v>
      </c>
      <c r="F3" s="568" t="s">
        <v>4</v>
      </c>
      <c r="G3" s="353"/>
      <c r="H3" s="352" t="str">
        <f>'[1]справка №1-БАЛАНС'!H4</f>
        <v> </v>
      </c>
    </row>
    <row r="4" spans="1:8" ht="17.25" customHeight="1">
      <c r="A4" s="6" t="s">
        <v>5</v>
      </c>
      <c r="B4" s="570"/>
      <c r="C4" s="570"/>
      <c r="D4" s="570"/>
      <c r="E4" s="532" t="str">
        <f>'справка №1-БАЛАНС'!E5</f>
        <v> 2008 г. 31.03 - първо тримесечие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3" t="s">
        <v>277</v>
      </c>
      <c r="B7" s="173"/>
      <c r="C7" s="85"/>
      <c r="D7" s="85"/>
      <c r="E7" s="173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294</v>
      </c>
      <c r="D9" s="79">
        <v>231</v>
      </c>
      <c r="E9" s="362" t="s">
        <v>283</v>
      </c>
      <c r="F9" s="364" t="s">
        <v>284</v>
      </c>
      <c r="G9" s="87">
        <v>669</v>
      </c>
      <c r="H9" s="87">
        <v>520</v>
      </c>
    </row>
    <row r="10" spans="1:8" ht="12">
      <c r="A10" s="362" t="s">
        <v>285</v>
      </c>
      <c r="B10" s="363" t="s">
        <v>286</v>
      </c>
      <c r="C10" s="79">
        <v>107</v>
      </c>
      <c r="D10" s="79">
        <v>190</v>
      </c>
      <c r="E10" s="362" t="s">
        <v>287</v>
      </c>
      <c r="F10" s="364" t="s">
        <v>288</v>
      </c>
      <c r="G10" s="87">
        <v>103</v>
      </c>
      <c r="H10" s="87">
        <v>85</v>
      </c>
    </row>
    <row r="11" spans="1:8" ht="12">
      <c r="A11" s="362" t="s">
        <v>289</v>
      </c>
      <c r="B11" s="363" t="s">
        <v>290</v>
      </c>
      <c r="C11" s="79">
        <v>41</v>
      </c>
      <c r="D11" s="79">
        <v>35</v>
      </c>
      <c r="E11" s="365" t="s">
        <v>291</v>
      </c>
      <c r="F11" s="364" t="s">
        <v>292</v>
      </c>
      <c r="G11" s="87">
        <v>47</v>
      </c>
      <c r="H11" s="87">
        <v>42</v>
      </c>
    </row>
    <row r="12" spans="1:8" ht="12">
      <c r="A12" s="362" t="s">
        <v>293</v>
      </c>
      <c r="B12" s="363" t="s">
        <v>294</v>
      </c>
      <c r="C12" s="79">
        <v>186</v>
      </c>
      <c r="D12" s="79">
        <v>158</v>
      </c>
      <c r="E12" s="365" t="s">
        <v>78</v>
      </c>
      <c r="F12" s="364" t="s">
        <v>295</v>
      </c>
      <c r="G12" s="87">
        <v>26</v>
      </c>
      <c r="H12" s="87">
        <v>53</v>
      </c>
    </row>
    <row r="13" spans="1:18" ht="12">
      <c r="A13" s="362" t="s">
        <v>296</v>
      </c>
      <c r="B13" s="363" t="s">
        <v>297</v>
      </c>
      <c r="C13" s="79">
        <v>38</v>
      </c>
      <c r="D13" s="79">
        <v>41</v>
      </c>
      <c r="E13" s="366" t="s">
        <v>51</v>
      </c>
      <c r="F13" s="367" t="s">
        <v>298</v>
      </c>
      <c r="G13" s="88">
        <f>SUM(G9:G12)</f>
        <v>845</v>
      </c>
      <c r="H13" s="88">
        <f>SUM(H9:H12)</f>
        <v>700</v>
      </c>
      <c r="I13" s="175"/>
      <c r="J13" s="175"/>
      <c r="K13" s="175"/>
      <c r="L13" s="175"/>
      <c r="M13" s="175"/>
      <c r="N13" s="175"/>
      <c r="O13" s="175"/>
      <c r="P13" s="175"/>
      <c r="Q13" s="175"/>
      <c r="R13" s="175"/>
    </row>
    <row r="14" spans="1:8" ht="12">
      <c r="A14" s="362" t="s">
        <v>299</v>
      </c>
      <c r="B14" s="363" t="s">
        <v>300</v>
      </c>
      <c r="C14" s="79">
        <v>132</v>
      </c>
      <c r="D14" s="79">
        <v>81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>
        <v>-114</v>
      </c>
      <c r="D15" s="80">
        <v>94</v>
      </c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9</v>
      </c>
      <c r="D16" s="80">
        <v>-13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693</v>
      </c>
      <c r="D19" s="82">
        <f>SUM(D9:D15)+D16</f>
        <v>817</v>
      </c>
      <c r="E19" s="372" t="s">
        <v>315</v>
      </c>
      <c r="F19" s="368" t="s">
        <v>316</v>
      </c>
      <c r="G19" s="87">
        <v>5</v>
      </c>
      <c r="H19" s="87">
        <v>4</v>
      </c>
      <c r="I19" s="175"/>
      <c r="J19" s="175"/>
      <c r="K19" s="175"/>
      <c r="L19" s="175"/>
      <c r="M19" s="175"/>
      <c r="N19" s="175"/>
      <c r="O19" s="175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/>
      <c r="D22" s="79">
        <v>6</v>
      </c>
      <c r="E22" s="372" t="s">
        <v>324</v>
      </c>
      <c r="F22" s="368" t="s">
        <v>325</v>
      </c>
      <c r="G22" s="87"/>
      <c r="H22" s="87"/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>
        <v>12</v>
      </c>
      <c r="D24" s="79">
        <v>5</v>
      </c>
      <c r="E24" s="366" t="s">
        <v>103</v>
      </c>
      <c r="F24" s="369" t="s">
        <v>332</v>
      </c>
      <c r="G24" s="88">
        <f>SUM(G19:G23)</f>
        <v>5</v>
      </c>
      <c r="H24" s="88">
        <f>SUM(H19:H23)</f>
        <v>4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</row>
    <row r="25" spans="1:8" ht="12">
      <c r="A25" s="362" t="s">
        <v>78</v>
      </c>
      <c r="B25" s="374" t="s">
        <v>333</v>
      </c>
      <c r="C25" s="79">
        <v>4</v>
      </c>
      <c r="D25" s="79">
        <v>1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16</v>
      </c>
      <c r="D26" s="82">
        <f>SUM(D22:D25)</f>
        <v>12</v>
      </c>
      <c r="E26" s="362"/>
      <c r="F26" s="359"/>
      <c r="G26" s="389"/>
      <c r="H26" s="389"/>
      <c r="I26" s="175"/>
      <c r="J26" s="175"/>
      <c r="K26" s="175"/>
      <c r="L26" s="175"/>
      <c r="M26" s="175"/>
      <c r="N26" s="175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3" t="s">
        <v>335</v>
      </c>
      <c r="B28" s="356" t="s">
        <v>336</v>
      </c>
      <c r="C28" s="83">
        <f>C26+C19</f>
        <v>709</v>
      </c>
      <c r="D28" s="83">
        <f>D26+D19</f>
        <v>829</v>
      </c>
      <c r="E28" s="173" t="s">
        <v>337</v>
      </c>
      <c r="F28" s="369" t="s">
        <v>338</v>
      </c>
      <c r="G28" s="88">
        <f>G13+G15+G24</f>
        <v>850</v>
      </c>
      <c r="H28" s="88">
        <f>H13+H15+H24</f>
        <v>704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</row>
    <row r="29" spans="1:8" ht="12">
      <c r="A29" s="173"/>
      <c r="B29" s="356"/>
      <c r="C29" s="388"/>
      <c r="D29" s="388"/>
      <c r="E29" s="173"/>
      <c r="F29" s="368"/>
      <c r="G29" s="389"/>
      <c r="H29" s="389"/>
    </row>
    <row r="30" spans="1:18" ht="12">
      <c r="A30" s="173" t="s">
        <v>339</v>
      </c>
      <c r="B30" s="356" t="s">
        <v>340</v>
      </c>
      <c r="C30" s="83">
        <f>IF((G28-C28)&gt;0,G28-C28,0)</f>
        <v>141</v>
      </c>
      <c r="D30" s="83">
        <f>IF((H28-D28)&gt;0,H28-D28,0)</f>
        <v>0</v>
      </c>
      <c r="E30" s="173" t="s">
        <v>341</v>
      </c>
      <c r="F30" s="369" t="s">
        <v>342</v>
      </c>
      <c r="G30" s="90">
        <f>IF((C28-G28)&gt;0,C28-G28,0)</f>
        <v>0</v>
      </c>
      <c r="H30" s="90">
        <f>IF((D28-H28)&gt;0,D28-H28,0)</f>
        <v>125</v>
      </c>
      <c r="I30" s="175"/>
      <c r="J30" s="175"/>
      <c r="K30" s="175"/>
      <c r="L30" s="175"/>
      <c r="M30" s="175"/>
      <c r="N30" s="175"/>
      <c r="O30" s="175"/>
      <c r="P30" s="175"/>
      <c r="Q30" s="175"/>
      <c r="R30" s="175"/>
    </row>
    <row r="31" spans="1:8" ht="24">
      <c r="A31" s="376" t="s">
        <v>852</v>
      </c>
      <c r="B31" s="375" t="s">
        <v>343</v>
      </c>
      <c r="C31" s="79"/>
      <c r="D31" s="79">
        <f>D30*0.416666</f>
        <v>0</v>
      </c>
      <c r="E31" s="360" t="s">
        <v>855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C28+C31+C32</f>
        <v>709</v>
      </c>
      <c r="D33" s="82">
        <f>D28+D31+D32</f>
        <v>829</v>
      </c>
      <c r="E33" s="173" t="s">
        <v>351</v>
      </c>
      <c r="F33" s="369" t="s">
        <v>352</v>
      </c>
      <c r="G33" s="90">
        <f>G32+G31+G28</f>
        <v>850</v>
      </c>
      <c r="H33" s="90">
        <f>H32+H31+H28</f>
        <v>704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8" ht="12">
      <c r="A34" s="378" t="s">
        <v>353</v>
      </c>
      <c r="B34" s="356" t="s">
        <v>354</v>
      </c>
      <c r="C34" s="83">
        <f>IF((G33-C33)&gt;0,G33-C33,0)</f>
        <v>141</v>
      </c>
      <c r="D34" s="83">
        <f>IF((H33-D33)&gt;0,H33-D33,0)</f>
        <v>0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125</v>
      </c>
      <c r="I34" s="175"/>
      <c r="J34" s="175"/>
      <c r="K34" s="175"/>
      <c r="L34" s="175"/>
      <c r="M34" s="175"/>
      <c r="N34" s="175"/>
      <c r="O34" s="175"/>
      <c r="P34" s="175"/>
      <c r="Q34" s="175"/>
      <c r="R34" s="175"/>
    </row>
    <row r="35" spans="1:14" ht="12">
      <c r="A35" s="360" t="s">
        <v>357</v>
      </c>
      <c r="B35" s="375" t="s">
        <v>358</v>
      </c>
      <c r="C35" s="82">
        <f>C36+C37+C38</f>
        <v>14.100000000000001</v>
      </c>
      <c r="D35" s="82">
        <f>D36+D37+D38</f>
        <v>0</v>
      </c>
      <c r="E35" s="379"/>
      <c r="F35" s="359"/>
      <c r="G35" s="389"/>
      <c r="H35" s="389"/>
      <c r="I35" s="175"/>
      <c r="J35" s="175"/>
      <c r="K35" s="175"/>
      <c r="L35" s="175"/>
      <c r="M35" s="175"/>
      <c r="N35" s="175"/>
    </row>
    <row r="36" spans="1:8" ht="12">
      <c r="A36" s="380" t="s">
        <v>359</v>
      </c>
      <c r="B36" s="374" t="s">
        <v>360</v>
      </c>
      <c r="C36" s="79">
        <f>C34*10%</f>
        <v>14.100000000000001</v>
      </c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600"/>
      <c r="D38" s="600"/>
      <c r="E38" s="379"/>
      <c r="F38" s="382"/>
      <c r="G38" s="389"/>
      <c r="H38" s="389"/>
    </row>
    <row r="39" spans="1:18" ht="24">
      <c r="A39" s="384" t="s">
        <v>365</v>
      </c>
      <c r="B39" s="177" t="s">
        <v>366</v>
      </c>
      <c r="C39" s="569">
        <f>+IF((G33-C33-C35)&gt;0,G33-C33-C35,0)</f>
        <v>126.9</v>
      </c>
      <c r="D39" s="569">
        <f>+IF((H33-D33-D35)&gt;0,H33-D33-D35,0)</f>
        <v>0</v>
      </c>
      <c r="E39" s="385" t="s">
        <v>367</v>
      </c>
      <c r="F39" s="174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125</v>
      </c>
      <c r="I39" s="175"/>
      <c r="J39" s="175"/>
      <c r="K39" s="175"/>
      <c r="L39" s="175"/>
      <c r="M39" s="175"/>
      <c r="N39" s="175"/>
      <c r="O39" s="175"/>
      <c r="P39" s="175"/>
      <c r="Q39" s="175"/>
      <c r="R39" s="175"/>
    </row>
    <row r="40" spans="1:8" ht="12">
      <c r="A40" s="173" t="s">
        <v>369</v>
      </c>
      <c r="B40" s="358" t="s">
        <v>370</v>
      </c>
      <c r="C40" s="84">
        <f>C39*0.416666</f>
        <v>52.8749154</v>
      </c>
      <c r="D40" s="84">
        <f>D39*0.416666</f>
        <v>0</v>
      </c>
      <c r="E40" s="173" t="s">
        <v>369</v>
      </c>
      <c r="F40" s="174" t="s">
        <v>371</v>
      </c>
      <c r="G40" s="87">
        <f>G39*0.416666</f>
        <v>0</v>
      </c>
      <c r="H40" s="87"/>
    </row>
    <row r="41" spans="1:18" ht="12">
      <c r="A41" s="173" t="s">
        <v>372</v>
      </c>
      <c r="B41" s="355" t="s">
        <v>373</v>
      </c>
      <c r="C41" s="85">
        <f>IF(G39=0,IF(C39-C40&gt;0,C39-C40+G40,0),IF(G39-G40&lt;0,G40-G39+C39,0))</f>
        <v>74.02508460000001</v>
      </c>
      <c r="D41" s="85">
        <f>IF(H39=0,IF(D39-D40&gt;0,D39-D40+H40,0),IF(H39-H40&lt;0,H40-H39+D39,0))</f>
        <v>0</v>
      </c>
      <c r="E41" s="173" t="s">
        <v>374</v>
      </c>
      <c r="F41" s="174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125</v>
      </c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2">
      <c r="A42" s="176" t="s">
        <v>376</v>
      </c>
      <c r="B42" s="355" t="s">
        <v>377</v>
      </c>
      <c r="C42" s="86">
        <f>C33+C35+C39</f>
        <v>850</v>
      </c>
      <c r="D42" s="86">
        <f>D33+D35+D39</f>
        <v>829</v>
      </c>
      <c r="E42" s="176" t="s">
        <v>378</v>
      </c>
      <c r="F42" s="177" t="s">
        <v>379</v>
      </c>
      <c r="G42" s="90">
        <f>G39+G33</f>
        <v>850</v>
      </c>
      <c r="H42" s="90">
        <f>H39+H33</f>
        <v>829</v>
      </c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10"/>
      <c r="E44" s="610"/>
      <c r="F44" s="610"/>
      <c r="G44" s="610"/>
      <c r="H44" s="610"/>
      <c r="I44" s="175"/>
      <c r="J44" s="175"/>
      <c r="K44" s="175"/>
      <c r="L44" s="175"/>
      <c r="M44" s="175"/>
      <c r="N44" s="175"/>
      <c r="O44" s="175"/>
    </row>
    <row r="45" spans="1:8" ht="12">
      <c r="A45" s="31"/>
      <c r="B45" s="534"/>
      <c r="C45" s="530"/>
      <c r="D45" s="530"/>
      <c r="E45" s="529"/>
      <c r="F45" s="529"/>
      <c r="G45" s="533"/>
      <c r="H45" s="533"/>
    </row>
    <row r="46" spans="1:8" ht="12.75" customHeight="1">
      <c r="A46" s="31"/>
      <c r="B46" s="534"/>
      <c r="C46" s="532" t="s">
        <v>781</v>
      </c>
      <c r="D46" s="611"/>
      <c r="E46" s="611"/>
      <c r="F46" s="611"/>
      <c r="G46" s="611"/>
      <c r="H46" s="611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8"/>
      <c r="D50" s="178"/>
      <c r="E50" s="29"/>
      <c r="F50" s="29"/>
      <c r="G50" s="179"/>
      <c r="H50" s="179"/>
    </row>
    <row r="51" spans="1:8" ht="12">
      <c r="A51" s="29"/>
      <c r="B51" s="29"/>
      <c r="C51" s="178"/>
      <c r="D51" s="178"/>
      <c r="E51" s="29"/>
      <c r="F51" s="29"/>
      <c r="G51" s="179"/>
      <c r="H51" s="179"/>
    </row>
    <row r="52" spans="1:8" ht="12">
      <c r="A52" s="29"/>
      <c r="B52" s="29"/>
      <c r="C52" s="178"/>
      <c r="D52" s="178"/>
      <c r="E52" s="29"/>
      <c r="F52" s="29"/>
      <c r="G52" s="179"/>
      <c r="H52" s="179"/>
    </row>
    <row r="53" spans="1:8" ht="12">
      <c r="A53" s="29"/>
      <c r="B53" s="29"/>
      <c r="C53" s="178"/>
      <c r="D53" s="178"/>
      <c r="E53" s="29"/>
      <c r="F53" s="29"/>
      <c r="G53" s="179"/>
      <c r="H53" s="179"/>
    </row>
    <row r="54" spans="1:8" ht="12">
      <c r="A54" s="29"/>
      <c r="B54" s="29"/>
      <c r="C54" s="178"/>
      <c r="D54" s="178"/>
      <c r="E54" s="29"/>
      <c r="F54" s="29"/>
      <c r="G54" s="179"/>
      <c r="H54" s="179"/>
    </row>
    <row r="55" spans="1:8" ht="12">
      <c r="A55" s="29"/>
      <c r="B55" s="29"/>
      <c r="C55" s="178"/>
      <c r="D55" s="178"/>
      <c r="E55" s="29"/>
      <c r="F55" s="29"/>
      <c r="G55" s="179"/>
      <c r="H55" s="179"/>
    </row>
    <row r="56" spans="1:8" ht="12">
      <c r="A56" s="29"/>
      <c r="B56" s="29"/>
      <c r="C56" s="178"/>
      <c r="D56" s="178"/>
      <c r="E56" s="29"/>
      <c r="F56" s="29"/>
      <c r="G56" s="179"/>
      <c r="H56" s="179"/>
    </row>
    <row r="57" spans="1:8" ht="12">
      <c r="A57" s="29"/>
      <c r="B57" s="29"/>
      <c r="C57" s="178"/>
      <c r="D57" s="178"/>
      <c r="E57" s="29"/>
      <c r="F57" s="29"/>
      <c r="G57" s="179"/>
      <c r="H57" s="179"/>
    </row>
    <row r="58" spans="1:8" ht="12">
      <c r="A58" s="29"/>
      <c r="B58" s="29"/>
      <c r="C58" s="178"/>
      <c r="D58" s="178"/>
      <c r="E58" s="29"/>
      <c r="F58" s="29"/>
      <c r="G58" s="179"/>
      <c r="H58" s="179"/>
    </row>
    <row r="59" spans="1:8" ht="12">
      <c r="A59" s="29"/>
      <c r="B59" s="29"/>
      <c r="C59" s="178"/>
      <c r="D59" s="178"/>
      <c r="E59" s="29"/>
      <c r="F59" s="29"/>
      <c r="G59" s="179"/>
      <c r="H59" s="179"/>
    </row>
    <row r="60" spans="1:8" ht="12">
      <c r="A60" s="29"/>
      <c r="B60" s="29"/>
      <c r="C60" s="178"/>
      <c r="D60" s="178"/>
      <c r="E60" s="29"/>
      <c r="F60" s="29"/>
      <c r="G60" s="179"/>
      <c r="H60" s="179"/>
    </row>
    <row r="61" spans="1:8" ht="12">
      <c r="A61" s="29"/>
      <c r="B61" s="29"/>
      <c r="C61" s="178"/>
      <c r="D61" s="178"/>
      <c r="E61" s="29"/>
      <c r="F61" s="29"/>
      <c r="G61" s="179"/>
      <c r="H61" s="179"/>
    </row>
    <row r="62" spans="1:8" ht="12">
      <c r="A62" s="29"/>
      <c r="B62" s="29"/>
      <c r="C62" s="178"/>
      <c r="D62" s="178"/>
      <c r="E62" s="29"/>
      <c r="F62" s="29"/>
      <c r="G62" s="179"/>
      <c r="H62" s="179"/>
    </row>
    <row r="63" spans="1:8" ht="12">
      <c r="A63" s="29"/>
      <c r="B63" s="29"/>
      <c r="C63" s="178"/>
      <c r="D63" s="178"/>
      <c r="E63" s="29"/>
      <c r="F63" s="29"/>
      <c r="G63" s="179"/>
      <c r="H63" s="179"/>
    </row>
    <row r="64" spans="1:8" ht="12">
      <c r="A64" s="29"/>
      <c r="B64" s="29"/>
      <c r="C64" s="178"/>
      <c r="D64" s="178"/>
      <c r="E64" s="29"/>
      <c r="F64" s="29"/>
      <c r="G64" s="179"/>
      <c r="H64" s="179"/>
    </row>
    <row r="65" spans="1:8" ht="12">
      <c r="A65" s="29"/>
      <c r="B65" s="29"/>
      <c r="C65" s="178"/>
      <c r="D65" s="178"/>
      <c r="E65" s="29"/>
      <c r="F65" s="29"/>
      <c r="G65" s="179"/>
      <c r="H65" s="179"/>
    </row>
    <row r="66" spans="1:8" ht="12">
      <c r="A66" s="29"/>
      <c r="B66" s="29"/>
      <c r="C66" s="178"/>
      <c r="D66" s="178"/>
      <c r="E66" s="29"/>
      <c r="F66" s="29"/>
      <c r="G66" s="179"/>
      <c r="H66" s="179"/>
    </row>
    <row r="67" spans="1:8" ht="12">
      <c r="A67" s="29"/>
      <c r="B67" s="29"/>
      <c r="C67" s="178"/>
      <c r="D67" s="178"/>
      <c r="E67" s="29"/>
      <c r="F67" s="29"/>
      <c r="G67" s="179"/>
      <c r="H67" s="179"/>
    </row>
    <row r="68" spans="1:8" ht="12">
      <c r="A68" s="29"/>
      <c r="B68" s="29"/>
      <c r="C68" s="178"/>
      <c r="D68" s="178"/>
      <c r="E68" s="29"/>
      <c r="F68" s="29"/>
      <c r="G68" s="179"/>
      <c r="H68" s="179"/>
    </row>
    <row r="69" spans="1:8" ht="12">
      <c r="A69" s="29"/>
      <c r="B69" s="29"/>
      <c r="C69" s="178"/>
      <c r="D69" s="178"/>
      <c r="E69" s="29"/>
      <c r="F69" s="29"/>
      <c r="G69" s="179"/>
      <c r="H69" s="179"/>
    </row>
    <row r="70" spans="1:8" ht="12">
      <c r="A70" s="29"/>
      <c r="B70" s="29"/>
      <c r="C70" s="178"/>
      <c r="D70" s="178"/>
      <c r="E70" s="29"/>
      <c r="F70" s="29"/>
      <c r="G70" s="179"/>
      <c r="H70" s="179"/>
    </row>
    <row r="71" spans="1:8" ht="12">
      <c r="A71" s="29"/>
      <c r="B71" s="29"/>
      <c r="C71" s="178"/>
      <c r="D71" s="178"/>
      <c r="E71" s="29"/>
      <c r="F71" s="29"/>
      <c r="G71" s="179"/>
      <c r="H71" s="179"/>
    </row>
    <row r="72" spans="1:8" ht="12">
      <c r="A72" s="29"/>
      <c r="B72" s="29"/>
      <c r="C72" s="178"/>
      <c r="D72" s="178"/>
      <c r="E72" s="29"/>
      <c r="F72" s="29"/>
      <c r="G72" s="179"/>
      <c r="H72" s="179"/>
    </row>
    <row r="73" spans="1:8" ht="12">
      <c r="A73" s="29"/>
      <c r="B73" s="29"/>
      <c r="C73" s="178"/>
      <c r="D73" s="178"/>
      <c r="E73" s="29"/>
      <c r="F73" s="29"/>
      <c r="G73" s="179"/>
      <c r="H73" s="179"/>
    </row>
    <row r="74" spans="1:8" ht="12">
      <c r="A74" s="29"/>
      <c r="B74" s="29"/>
      <c r="C74" s="178"/>
      <c r="D74" s="178"/>
      <c r="E74" s="29"/>
      <c r="F74" s="29"/>
      <c r="G74" s="179"/>
      <c r="H74" s="179"/>
    </row>
    <row r="75" spans="1:8" ht="12">
      <c r="A75" s="29"/>
      <c r="B75" s="29"/>
      <c r="C75" s="178"/>
      <c r="D75" s="178"/>
      <c r="E75" s="29"/>
      <c r="F75" s="29"/>
      <c r="G75" s="179"/>
      <c r="H75" s="179"/>
    </row>
    <row r="76" spans="1:8" ht="12">
      <c r="A76" s="29"/>
      <c r="B76" s="29"/>
      <c r="C76" s="178"/>
      <c r="D76" s="178"/>
      <c r="E76" s="29"/>
      <c r="F76" s="29"/>
      <c r="G76" s="179"/>
      <c r="H76" s="179"/>
    </row>
    <row r="77" spans="1:8" ht="12">
      <c r="A77" s="29"/>
      <c r="B77" s="29"/>
      <c r="C77" s="178"/>
      <c r="D77" s="178"/>
      <c r="E77" s="29"/>
      <c r="F77" s="29"/>
      <c r="G77" s="179"/>
      <c r="H77" s="179"/>
    </row>
    <row r="78" spans="1:8" ht="12">
      <c r="A78" s="29"/>
      <c r="B78" s="29"/>
      <c r="C78" s="178"/>
      <c r="D78" s="178"/>
      <c r="E78" s="29"/>
      <c r="F78" s="29"/>
      <c r="G78" s="179"/>
      <c r="H78" s="179"/>
    </row>
    <row r="79" spans="1:8" ht="12">
      <c r="A79" s="29"/>
      <c r="B79" s="29"/>
      <c r="C79" s="178"/>
      <c r="D79" s="178"/>
      <c r="E79" s="29"/>
      <c r="F79" s="29"/>
      <c r="G79" s="179"/>
      <c r="H79" s="179"/>
    </row>
    <row r="80" spans="1:8" ht="12">
      <c r="A80" s="29"/>
      <c r="B80" s="29"/>
      <c r="C80" s="178"/>
      <c r="D80" s="178"/>
      <c r="E80" s="29"/>
      <c r="F80" s="29"/>
      <c r="G80" s="179"/>
      <c r="H80" s="179"/>
    </row>
    <row r="81" spans="1:8" ht="12">
      <c r="A81" s="29"/>
      <c r="B81" s="29"/>
      <c r="C81" s="178"/>
      <c r="D81" s="178"/>
      <c r="E81" s="29"/>
      <c r="F81" s="29"/>
      <c r="G81" s="179"/>
      <c r="H81" s="179"/>
    </row>
    <row r="82" spans="1:8" ht="12">
      <c r="A82" s="29"/>
      <c r="B82" s="29"/>
      <c r="C82" s="178"/>
      <c r="D82" s="178"/>
      <c r="E82" s="29"/>
      <c r="F82" s="29"/>
      <c r="G82" s="179"/>
      <c r="H82" s="179"/>
    </row>
    <row r="83" spans="1:8" ht="12">
      <c r="A83" s="29"/>
      <c r="B83" s="29"/>
      <c r="C83" s="178"/>
      <c r="D83" s="178"/>
      <c r="E83" s="29"/>
      <c r="F83" s="29"/>
      <c r="G83" s="179"/>
      <c r="H83" s="179"/>
    </row>
    <row r="84" spans="1:8" ht="12">
      <c r="A84" s="29"/>
      <c r="B84" s="29"/>
      <c r="C84" s="178"/>
      <c r="D84" s="178"/>
      <c r="E84" s="29"/>
      <c r="F84" s="29"/>
      <c r="G84" s="179"/>
      <c r="H84" s="179"/>
    </row>
    <row r="85" spans="1:8" ht="12">
      <c r="A85" s="29"/>
      <c r="B85" s="29"/>
      <c r="C85" s="178"/>
      <c r="D85" s="178"/>
      <c r="E85" s="29"/>
      <c r="F85" s="29"/>
      <c r="G85" s="179"/>
      <c r="H85" s="179"/>
    </row>
    <row r="86" spans="1:8" ht="12">
      <c r="A86" s="29"/>
      <c r="B86" s="29"/>
      <c r="C86" s="178"/>
      <c r="D86" s="178"/>
      <c r="E86" s="29"/>
      <c r="F86" s="29"/>
      <c r="G86" s="179"/>
      <c r="H86" s="179"/>
    </row>
    <row r="87" spans="1:8" ht="12">
      <c r="A87" s="29"/>
      <c r="B87" s="29"/>
      <c r="C87" s="178"/>
      <c r="D87" s="178"/>
      <c r="E87" s="29"/>
      <c r="F87" s="29"/>
      <c r="G87" s="179"/>
      <c r="H87" s="179"/>
    </row>
    <row r="88" spans="1:8" ht="12">
      <c r="A88" s="29"/>
      <c r="B88" s="29"/>
      <c r="C88" s="178"/>
      <c r="D88" s="178"/>
      <c r="E88" s="29"/>
      <c r="F88" s="29"/>
      <c r="G88" s="179"/>
      <c r="H88" s="179"/>
    </row>
    <row r="89" spans="1:8" ht="12">
      <c r="A89" s="29"/>
      <c r="B89" s="29"/>
      <c r="C89" s="178"/>
      <c r="D89" s="178"/>
      <c r="E89" s="29"/>
      <c r="F89" s="29"/>
      <c r="G89" s="179"/>
      <c r="H89" s="179"/>
    </row>
    <row r="90" spans="1:8" ht="12">
      <c r="A90" s="29"/>
      <c r="B90" s="29"/>
      <c r="C90" s="178"/>
      <c r="D90" s="178"/>
      <c r="E90" s="29"/>
      <c r="F90" s="29"/>
      <c r="G90" s="179"/>
      <c r="H90" s="179"/>
    </row>
    <row r="91" spans="1:8" ht="12">
      <c r="A91" s="29"/>
      <c r="B91" s="29"/>
      <c r="C91" s="178"/>
      <c r="D91" s="178"/>
      <c r="E91" s="29"/>
      <c r="F91" s="29"/>
      <c r="G91" s="179"/>
      <c r="H91" s="179"/>
    </row>
    <row r="92" spans="1:8" ht="12">
      <c r="A92" s="29"/>
      <c r="B92" s="29"/>
      <c r="C92" s="178"/>
      <c r="D92" s="178"/>
      <c r="E92" s="29"/>
      <c r="F92" s="29"/>
      <c r="G92" s="179"/>
      <c r="H92" s="179"/>
    </row>
    <row r="93" spans="1:8" ht="12">
      <c r="A93" s="29"/>
      <c r="B93" s="29"/>
      <c r="C93" s="178"/>
      <c r="D93" s="178"/>
      <c r="E93" s="29"/>
      <c r="F93" s="29"/>
      <c r="G93" s="179"/>
      <c r="H93" s="179"/>
    </row>
    <row r="94" spans="1:8" ht="12">
      <c r="A94" s="29"/>
      <c r="B94" s="29"/>
      <c r="C94" s="178"/>
      <c r="D94" s="178"/>
      <c r="E94" s="29"/>
      <c r="F94" s="29"/>
      <c r="G94" s="179"/>
      <c r="H94" s="179"/>
    </row>
    <row r="95" spans="1:8" ht="12">
      <c r="A95" s="29"/>
      <c r="B95" s="29"/>
      <c r="C95" s="178"/>
      <c r="D95" s="178"/>
      <c r="E95" s="29"/>
      <c r="F95" s="29"/>
      <c r="G95" s="179"/>
      <c r="H95" s="179"/>
    </row>
    <row r="96" spans="1:8" ht="12">
      <c r="A96" s="29"/>
      <c r="B96" s="29"/>
      <c r="C96" s="178"/>
      <c r="D96" s="178"/>
      <c r="E96" s="29"/>
      <c r="F96" s="29"/>
      <c r="G96" s="179"/>
      <c r="H96" s="179"/>
    </row>
    <row r="97" spans="1:8" ht="12">
      <c r="A97" s="29"/>
      <c r="B97" s="29"/>
      <c r="C97" s="178"/>
      <c r="D97" s="178"/>
      <c r="E97" s="29"/>
      <c r="F97" s="29"/>
      <c r="G97" s="179"/>
      <c r="H97" s="179"/>
    </row>
    <row r="98" spans="1:8" ht="12">
      <c r="A98" s="29"/>
      <c r="B98" s="29"/>
      <c r="C98" s="178"/>
      <c r="D98" s="178"/>
      <c r="E98" s="29"/>
      <c r="F98" s="29"/>
      <c r="G98" s="179"/>
      <c r="H98" s="179"/>
    </row>
    <row r="99" spans="1:8" ht="12">
      <c r="A99" s="29"/>
      <c r="B99" s="29"/>
      <c r="C99" s="178"/>
      <c r="D99" s="178"/>
      <c r="E99" s="29"/>
      <c r="F99" s="29"/>
      <c r="G99" s="179"/>
      <c r="H99" s="179"/>
    </row>
    <row r="100" spans="1:8" ht="12">
      <c r="A100" s="29"/>
      <c r="B100" s="29"/>
      <c r="C100" s="178"/>
      <c r="D100" s="178"/>
      <c r="E100" s="29"/>
      <c r="F100" s="29"/>
      <c r="G100" s="179"/>
      <c r="H100" s="179"/>
    </row>
    <row r="101" spans="1:8" ht="12">
      <c r="A101" s="29"/>
      <c r="B101" s="29"/>
      <c r="C101" s="178"/>
      <c r="D101" s="178"/>
      <c r="E101" s="29"/>
      <c r="F101" s="29"/>
      <c r="G101" s="179"/>
      <c r="H101" s="179"/>
    </row>
    <row r="102" spans="1:8" ht="12">
      <c r="A102" s="29"/>
      <c r="B102" s="29"/>
      <c r="C102" s="178"/>
      <c r="D102" s="178"/>
      <c r="E102" s="29"/>
      <c r="F102" s="29"/>
      <c r="G102" s="179"/>
      <c r="H102" s="179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8 G40:H40 C9:D14 C31:D32 C36:D36 C38:D38 C40:D40 G9:H12 G15:H16 G19:H23 G31:H32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8">
      <selection activeCell="C53" sqref="C53"/>
    </sheetView>
  </sheetViews>
  <sheetFormatPr defaultColWidth="9.00390625" defaultRowHeight="12.75"/>
  <cols>
    <col min="1" max="1" width="61.375" style="182" customWidth="1"/>
    <col min="2" max="2" width="17.375" style="182" customWidth="1"/>
    <col min="3" max="3" width="17.875" style="421" customWidth="1"/>
    <col min="4" max="4" width="18.75390625" style="421" customWidth="1"/>
    <col min="5" max="5" width="10.125" style="182" customWidth="1"/>
    <col min="6" max="6" width="12.00390625" style="182" customWidth="1"/>
    <col min="7" max="16384" width="9.25390625" style="182" customWidth="1"/>
  </cols>
  <sheetData>
    <row r="1" spans="1:10" ht="12">
      <c r="A1" s="392"/>
      <c r="B1" s="392"/>
      <c r="C1" s="393"/>
      <c r="D1" s="393"/>
      <c r="E1" s="181"/>
      <c r="F1" s="181"/>
      <c r="G1" s="181"/>
      <c r="H1" s="181"/>
      <c r="I1" s="181"/>
      <c r="J1" s="181"/>
    </row>
    <row r="2" spans="1:10" ht="12">
      <c r="A2" s="394" t="s">
        <v>382</v>
      </c>
      <c r="B2" s="394"/>
      <c r="C2" s="395"/>
      <c r="D2" s="395"/>
      <c r="E2" s="400"/>
      <c r="F2" s="400"/>
      <c r="G2" s="181"/>
      <c r="H2" s="181"/>
      <c r="I2" s="181"/>
      <c r="J2" s="181"/>
    </row>
    <row r="3" spans="1:10" ht="12">
      <c r="A3" s="394"/>
      <c r="B3" s="394"/>
      <c r="C3" s="395"/>
      <c r="D3" s="395"/>
      <c r="E3" s="401"/>
      <c r="F3" s="401"/>
      <c r="G3" s="181"/>
      <c r="H3" s="181"/>
      <c r="I3" s="181"/>
      <c r="J3" s="181"/>
    </row>
    <row r="4" spans="1:10" ht="36">
      <c r="A4" s="532" t="s">
        <v>383</v>
      </c>
      <c r="B4" s="532" t="str">
        <f>'справка №1-БАЛАНС'!E3</f>
        <v>Булгар Чех Инвест Холдинг АД - Смолян</v>
      </c>
      <c r="C4" s="396" t="s">
        <v>2</v>
      </c>
      <c r="D4" s="352">
        <f>'справка №1-БАЛАНС'!H3</f>
        <v>0</v>
      </c>
      <c r="E4" s="400"/>
      <c r="F4" s="400"/>
      <c r="G4" s="181"/>
      <c r="H4" s="181"/>
      <c r="I4" s="181"/>
      <c r="J4" s="181"/>
    </row>
    <row r="5" spans="1:10" ht="15">
      <c r="A5" s="532" t="s">
        <v>273</v>
      </c>
      <c r="B5" s="532" t="str">
        <f>'справка №1-БАЛАНС'!E4</f>
        <v>КОНСОЛИДИРАН </v>
      </c>
      <c r="C5" s="397" t="s">
        <v>4</v>
      </c>
      <c r="D5" s="352" t="str">
        <f>'справка №1-БАЛАНС'!H4</f>
        <v> </v>
      </c>
      <c r="E5" s="181"/>
      <c r="F5" s="181"/>
      <c r="G5" s="181"/>
      <c r="H5" s="181"/>
      <c r="I5" s="181"/>
      <c r="J5" s="181"/>
    </row>
    <row r="6" spans="1:10" ht="24">
      <c r="A6" s="6" t="s">
        <v>5</v>
      </c>
      <c r="B6" s="532" t="str">
        <f>'справка №1-БАЛАНС'!E5</f>
        <v> 2008 г. 31.03 - първо тримесечие</v>
      </c>
      <c r="C6" s="40"/>
      <c r="D6" s="398" t="s">
        <v>274</v>
      </c>
      <c r="E6" s="181"/>
      <c r="F6" s="402"/>
      <c r="G6" s="181"/>
      <c r="H6" s="181"/>
      <c r="I6" s="181"/>
      <c r="J6" s="181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1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1"/>
    </row>
    <row r="9" spans="1:7" ht="12">
      <c r="A9" s="407" t="s">
        <v>385</v>
      </c>
      <c r="B9" s="408"/>
      <c r="C9" s="93"/>
      <c r="D9" s="93"/>
      <c r="E9" s="180"/>
      <c r="F9" s="180"/>
      <c r="G9" s="181"/>
    </row>
    <row r="10" spans="1:7" ht="12">
      <c r="A10" s="409" t="s">
        <v>386</v>
      </c>
      <c r="B10" s="410" t="s">
        <v>387</v>
      </c>
      <c r="C10" s="92">
        <f>1064+144</f>
        <v>1208</v>
      </c>
      <c r="D10" s="92">
        <f>712-40</f>
        <v>672</v>
      </c>
      <c r="E10" s="180"/>
      <c r="F10" s="180"/>
      <c r="G10" s="181"/>
    </row>
    <row r="11" spans="1:13" ht="12">
      <c r="A11" s="409" t="s">
        <v>388</v>
      </c>
      <c r="B11" s="410" t="s">
        <v>389</v>
      </c>
      <c r="C11" s="92">
        <v>-612</v>
      </c>
      <c r="D11" s="92">
        <v>-537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>
        <v>0</v>
      </c>
      <c r="D12" s="92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-182</v>
      </c>
      <c r="D13" s="92">
        <v>-255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>
        <v>-12</v>
      </c>
      <c r="D14" s="92">
        <v>-5</v>
      </c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>
        <v>0</v>
      </c>
      <c r="D15" s="92">
        <v>-6</v>
      </c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>
        <v>0</v>
      </c>
      <c r="D16" s="92">
        <v>5</v>
      </c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/>
      <c r="D17" s="92"/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-12</v>
      </c>
      <c r="D18" s="92">
        <v>-4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-5</v>
      </c>
      <c r="D19" s="92">
        <v>-21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385</v>
      </c>
      <c r="D20" s="93">
        <f>SUM(D10:D19)</f>
        <v>-151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-5</v>
      </c>
      <c r="D22" s="92">
        <v>-23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>
        <v>-42</v>
      </c>
      <c r="D23" s="92">
        <v>8</v>
      </c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>
        <v>0</v>
      </c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>
        <v>0</v>
      </c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>
        <v>3</v>
      </c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>
        <v>0</v>
      </c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>
        <v>17</v>
      </c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>
        <v>0</v>
      </c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>
        <f>-32+4</f>
        <v>-28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-27</v>
      </c>
      <c r="D32" s="93">
        <f>SUM(D22:D31)</f>
        <v>-43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0"/>
      <c r="F33" s="180"/>
      <c r="G33" s="181"/>
    </row>
    <row r="34" spans="1:7" ht="12">
      <c r="A34" s="409" t="s">
        <v>431</v>
      </c>
      <c r="B34" s="410" t="s">
        <v>432</v>
      </c>
      <c r="C34" s="92"/>
      <c r="D34" s="92"/>
      <c r="E34" s="180"/>
      <c r="F34" s="180"/>
      <c r="G34" s="181"/>
    </row>
    <row r="35" spans="1:7" ht="12">
      <c r="A35" s="411" t="s">
        <v>433</v>
      </c>
      <c r="B35" s="410" t="s">
        <v>434</v>
      </c>
      <c r="C35" s="92"/>
      <c r="D35" s="92"/>
      <c r="E35" s="180"/>
      <c r="F35" s="180"/>
      <c r="G35" s="181"/>
    </row>
    <row r="36" spans="1:7" ht="12">
      <c r="A36" s="409" t="s">
        <v>435</v>
      </c>
      <c r="B36" s="410" t="s">
        <v>436</v>
      </c>
      <c r="C36" s="92">
        <v>-20</v>
      </c>
      <c r="D36" s="92">
        <v>35</v>
      </c>
      <c r="E36" s="180"/>
      <c r="F36" s="180"/>
      <c r="G36" s="181"/>
    </row>
    <row r="37" spans="1:7" ht="12">
      <c r="A37" s="409" t="s">
        <v>437</v>
      </c>
      <c r="B37" s="410" t="s">
        <v>438</v>
      </c>
      <c r="C37" s="92">
        <v>-22</v>
      </c>
      <c r="D37" s="92">
        <v>-9</v>
      </c>
      <c r="E37" s="180"/>
      <c r="F37" s="180"/>
      <c r="G37" s="181"/>
    </row>
    <row r="38" spans="1:7" ht="12">
      <c r="A38" s="409" t="s">
        <v>439</v>
      </c>
      <c r="B38" s="410" t="s">
        <v>440</v>
      </c>
      <c r="C38" s="92"/>
      <c r="D38" s="92"/>
      <c r="E38" s="180"/>
      <c r="F38" s="180"/>
      <c r="G38" s="181"/>
    </row>
    <row r="39" spans="1:7" ht="12">
      <c r="A39" s="409" t="s">
        <v>441</v>
      </c>
      <c r="B39" s="410" t="s">
        <v>442</v>
      </c>
      <c r="C39" s="92"/>
      <c r="D39" s="92">
        <v>-2</v>
      </c>
      <c r="E39" s="180"/>
      <c r="F39" s="180"/>
      <c r="G39" s="181"/>
    </row>
    <row r="40" spans="1:7" ht="12">
      <c r="A40" s="409" t="s">
        <v>443</v>
      </c>
      <c r="B40" s="410" t="s">
        <v>444</v>
      </c>
      <c r="C40" s="92"/>
      <c r="D40" s="92"/>
      <c r="E40" s="180"/>
      <c r="F40" s="180"/>
      <c r="G40" s="181"/>
    </row>
    <row r="41" spans="1:8" ht="12">
      <c r="A41" s="409" t="s">
        <v>445</v>
      </c>
      <c r="B41" s="410" t="s">
        <v>446</v>
      </c>
      <c r="C41" s="92">
        <v>-4</v>
      </c>
      <c r="D41" s="92">
        <v>-3</v>
      </c>
      <c r="E41" s="180"/>
      <c r="F41" s="180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-46</v>
      </c>
      <c r="D42" s="93">
        <f>SUM(D34:D41)</f>
        <v>21</v>
      </c>
      <c r="E42" s="180"/>
      <c r="F42" s="180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312</v>
      </c>
      <c r="D43" s="93">
        <f>D42+D32+D20</f>
        <v>-173</v>
      </c>
      <c r="E43" s="180"/>
      <c r="F43" s="180"/>
      <c r="G43" s="184"/>
      <c r="H43" s="185"/>
    </row>
    <row r="44" spans="1:8" ht="12">
      <c r="A44" s="407" t="s">
        <v>451</v>
      </c>
      <c r="B44" s="416" t="s">
        <v>452</v>
      </c>
      <c r="C44" s="93">
        <f>D45</f>
        <v>610</v>
      </c>
      <c r="D44" s="183">
        <v>783</v>
      </c>
      <c r="E44" s="180"/>
      <c r="F44" s="180"/>
      <c r="G44" s="184"/>
      <c r="H44" s="185"/>
    </row>
    <row r="45" spans="1:8" ht="12">
      <c r="A45" s="407" t="s">
        <v>453</v>
      </c>
      <c r="B45" s="416" t="s">
        <v>454</v>
      </c>
      <c r="C45" s="93">
        <f>C44+C43</f>
        <v>922</v>
      </c>
      <c r="D45" s="93">
        <f>D44+D43</f>
        <v>610</v>
      </c>
      <c r="E45" s="180"/>
      <c r="F45" s="180"/>
      <c r="G45" s="184"/>
      <c r="H45" s="185"/>
    </row>
    <row r="46" spans="1:8" ht="12">
      <c r="A46" s="409" t="s">
        <v>455</v>
      </c>
      <c r="B46" s="416" t="s">
        <v>456</v>
      </c>
      <c r="C46" s="94"/>
      <c r="D46" s="94">
        <v>650</v>
      </c>
      <c r="E46" s="180"/>
      <c r="F46" s="180"/>
      <c r="G46" s="184"/>
      <c r="H46" s="185"/>
    </row>
    <row r="47" spans="1:8" ht="12">
      <c r="A47" s="409" t="s">
        <v>457</v>
      </c>
      <c r="B47" s="416" t="s">
        <v>458</v>
      </c>
      <c r="C47" s="94">
        <f>'справка №1-БАЛАНС'!C89</f>
        <v>0</v>
      </c>
      <c r="D47" s="94">
        <f>'справка №1-БАЛАНС'!D89</f>
        <v>0</v>
      </c>
      <c r="E47" s="181"/>
      <c r="F47" s="181"/>
      <c r="G47" s="184"/>
      <c r="H47" s="185"/>
    </row>
    <row r="48" spans="1:8" ht="12">
      <c r="A48" s="180"/>
      <c r="B48" s="419"/>
      <c r="C48" s="420"/>
      <c r="D48" s="420"/>
      <c r="E48" s="181"/>
      <c r="F48" s="181"/>
      <c r="G48" s="184"/>
      <c r="H48" s="185"/>
    </row>
    <row r="49" spans="1:8" ht="12">
      <c r="A49" s="542"/>
      <c r="B49" s="543"/>
      <c r="C49" s="601">
        <f>'справка №1-БАЛАНС'!C91-C45</f>
        <v>0</v>
      </c>
      <c r="D49" s="544"/>
      <c r="E49" s="422"/>
      <c r="F49" s="181"/>
      <c r="G49" s="184"/>
      <c r="H49" s="185"/>
    </row>
    <row r="50" spans="1:8" ht="12">
      <c r="A50" s="597" t="str">
        <f>'справка №1-БАЛАНС'!A98</f>
        <v>Дата на съставяне: 25.05.2008 г</v>
      </c>
      <c r="B50" s="543" t="s">
        <v>381</v>
      </c>
      <c r="C50" s="613"/>
      <c r="D50" s="613"/>
      <c r="G50" s="185"/>
      <c r="H50" s="185"/>
    </row>
    <row r="51" spans="1:8" ht="12">
      <c r="A51" s="545"/>
      <c r="B51" s="545"/>
      <c r="C51" s="541"/>
      <c r="D51" s="541"/>
      <c r="G51" s="185"/>
      <c r="H51" s="185"/>
    </row>
    <row r="52" spans="1:8" ht="12">
      <c r="A52" s="545"/>
      <c r="B52" s="543" t="s">
        <v>781</v>
      </c>
      <c r="C52" s="613"/>
      <c r="D52" s="613"/>
      <c r="G52" s="185"/>
      <c r="H52" s="185"/>
    </row>
    <row r="53" spans="1:8" ht="12">
      <c r="A53" s="545"/>
      <c r="B53" s="545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 password="CF7A" sheet="1" objects="1" scenarios="1"/>
  <autoFilter ref="A8:D47"/>
  <mergeCells count="2">
    <mergeCell ref="C50:D50"/>
    <mergeCell ref="C52:D52"/>
  </mergeCells>
  <dataValidations count="7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9 C22:C31 C34: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:D31 D10:D19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" right="0.25" top="0.25" bottom="0.43" header="0.25" footer="0.23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7">
      <selection activeCell="E29" sqref="E2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4" t="s">
        <v>459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6" t="str">
        <f>'справка №1-БАЛАНС'!E3</f>
        <v>Булгар Чех Инвест Холдинг АД - Смолян</v>
      </c>
      <c r="D3" s="617"/>
      <c r="E3" s="617"/>
      <c r="F3" s="617"/>
      <c r="G3" s="617"/>
      <c r="H3" s="573"/>
      <c r="I3" s="573"/>
      <c r="J3" s="2"/>
      <c r="K3" s="572" t="s">
        <v>2</v>
      </c>
      <c r="L3" s="572"/>
      <c r="M3" s="591">
        <f>'справка №1-БАЛАНС'!H3</f>
        <v>0</v>
      </c>
      <c r="N3" s="3"/>
    </row>
    <row r="4" spans="1:15" s="5" customFormat="1" ht="13.5" customHeight="1">
      <c r="A4" s="6" t="s">
        <v>460</v>
      </c>
      <c r="B4" s="573"/>
      <c r="C4" s="616" t="str">
        <f>'справка №1-БАЛАНС'!E4</f>
        <v>КОНСОЛИДИРАН </v>
      </c>
      <c r="D4" s="616"/>
      <c r="E4" s="618"/>
      <c r="F4" s="616"/>
      <c r="G4" s="616"/>
      <c r="H4" s="532"/>
      <c r="I4" s="532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1"/>
      <c r="C5" s="616" t="str">
        <f>'справка №1-БАЛАНС'!E5</f>
        <v> 2008 г. 31.03 - първо тримесечие</v>
      </c>
      <c r="D5" s="617"/>
      <c r="E5" s="617"/>
      <c r="F5" s="617"/>
      <c r="G5" s="617"/>
      <c r="H5" s="573"/>
      <c r="I5" s="573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1191</v>
      </c>
      <c r="D11" s="96">
        <f>'справка №1-БАЛАНС'!H19</f>
        <v>0</v>
      </c>
      <c r="E11" s="96">
        <f>'справка №1-БАЛАНС'!H20</f>
        <v>2</v>
      </c>
      <c r="F11" s="96">
        <f>'справка №1-БАЛАНС'!H22</f>
        <v>783</v>
      </c>
      <c r="G11" s="96">
        <f>'справка №1-БАЛАНС'!H23</f>
        <v>0</v>
      </c>
      <c r="H11" s="98">
        <v>2718</v>
      </c>
      <c r="I11" s="96">
        <f>'справка №1-БАЛАНС'!H28+'справка №1-БАЛАНС'!H31</f>
        <v>1996</v>
      </c>
      <c r="J11" s="96">
        <f>'справка №1-БАЛАНС'!H29+'справка №1-БАЛАНС'!H32</f>
        <v>-957</v>
      </c>
      <c r="K11" s="98"/>
      <c r="L11" s="423">
        <f>SUM(C11:K11)</f>
        <v>5733</v>
      </c>
      <c r="M11" s="96">
        <f>'справка №1-БАЛАНС'!H39</f>
        <v>729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1191</v>
      </c>
      <c r="D15" s="99">
        <f aca="true" t="shared" si="2" ref="D15:M15">D11+D12</f>
        <v>0</v>
      </c>
      <c r="E15" s="99">
        <f t="shared" si="2"/>
        <v>2</v>
      </c>
      <c r="F15" s="99">
        <f t="shared" si="2"/>
        <v>783</v>
      </c>
      <c r="G15" s="99">
        <f t="shared" si="2"/>
        <v>0</v>
      </c>
      <c r="H15" s="99">
        <f t="shared" si="2"/>
        <v>2718</v>
      </c>
      <c r="I15" s="99">
        <f t="shared" si="2"/>
        <v>1996</v>
      </c>
      <c r="J15" s="99">
        <f t="shared" si="2"/>
        <v>-957</v>
      </c>
      <c r="K15" s="99">
        <f t="shared" si="2"/>
        <v>0</v>
      </c>
      <c r="L15" s="423">
        <f t="shared" si="1"/>
        <v>5733</v>
      </c>
      <c r="M15" s="99">
        <f t="shared" si="2"/>
        <v>729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126.9</v>
      </c>
      <c r="J16" s="424">
        <f>+'справка №1-БАЛАНС'!G32</f>
        <v>0</v>
      </c>
      <c r="K16" s="98"/>
      <c r="L16" s="423">
        <f t="shared" si="1"/>
        <v>126.9</v>
      </c>
      <c r="M16" s="98">
        <f>'справка №2-ОТЧЕТ ЗА ДОХОДИТE'!C40+('справка №2-ОТЧЕТ ЗА ДОХОДИТE'!G40*-1)</f>
        <v>52.8749154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1115</v>
      </c>
      <c r="G17" s="100">
        <f t="shared" si="3"/>
        <v>0</v>
      </c>
      <c r="H17" s="100">
        <f t="shared" si="3"/>
        <v>-1168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-53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>
        <f>1168-53</f>
        <v>1115</v>
      </c>
      <c r="G18" s="98"/>
      <c r="H18" s="98">
        <v>-1168</v>
      </c>
      <c r="I18" s="98"/>
      <c r="J18" s="98"/>
      <c r="K18" s="98"/>
      <c r="L18" s="423">
        <f t="shared" si="1"/>
        <v>-53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-2</v>
      </c>
      <c r="F28" s="98">
        <v>53</v>
      </c>
      <c r="G28" s="98"/>
      <c r="H28" s="98">
        <v>1</v>
      </c>
      <c r="I28" s="98">
        <v>-23</v>
      </c>
      <c r="J28" s="98">
        <v>-31</v>
      </c>
      <c r="K28" s="98"/>
      <c r="L28" s="423">
        <f t="shared" si="1"/>
        <v>-2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1191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1951</v>
      </c>
      <c r="G29" s="97">
        <f t="shared" si="6"/>
        <v>0</v>
      </c>
      <c r="H29" s="97">
        <f t="shared" si="6"/>
        <v>1551</v>
      </c>
      <c r="I29" s="97">
        <f t="shared" si="6"/>
        <v>2099.9</v>
      </c>
      <c r="J29" s="97">
        <f t="shared" si="6"/>
        <v>-988</v>
      </c>
      <c r="K29" s="97">
        <f t="shared" si="6"/>
        <v>0</v>
      </c>
      <c r="L29" s="423">
        <f t="shared" si="1"/>
        <v>5804.9</v>
      </c>
      <c r="M29" s="97">
        <f t="shared" si="6"/>
        <v>781.8749154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1191</v>
      </c>
      <c r="D32" s="97">
        <f t="shared" si="7"/>
        <v>0</v>
      </c>
      <c r="E32" s="97">
        <f t="shared" si="7"/>
        <v>0</v>
      </c>
      <c r="F32" s="97">
        <f t="shared" si="7"/>
        <v>1951</v>
      </c>
      <c r="G32" s="97">
        <f t="shared" si="7"/>
        <v>0</v>
      </c>
      <c r="H32" s="97">
        <f t="shared" si="7"/>
        <v>1551</v>
      </c>
      <c r="I32" s="97">
        <f t="shared" si="7"/>
        <v>2099.9</v>
      </c>
      <c r="J32" s="97">
        <f t="shared" si="7"/>
        <v>-988</v>
      </c>
      <c r="K32" s="97">
        <f t="shared" si="7"/>
        <v>0</v>
      </c>
      <c r="L32" s="423">
        <f t="shared" si="1"/>
        <v>5804.9</v>
      </c>
      <c r="M32" s="97">
        <f>M29+M30+M31</f>
        <v>781.8749154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427"/>
      <c r="M34" s="428"/>
      <c r="N34" s="19"/>
    </row>
    <row r="35" spans="1:14" ht="12">
      <c r="A35" s="561" t="str">
        <f>'справка №1-БАЛАНС'!A98</f>
        <v>Дата на съставяне: 25.05.2008 г</v>
      </c>
      <c r="B35" s="37"/>
      <c r="C35" s="24"/>
      <c r="D35" s="615" t="s">
        <v>521</v>
      </c>
      <c r="E35" s="615"/>
      <c r="F35" s="615"/>
      <c r="G35" s="615"/>
      <c r="H35" s="615"/>
      <c r="I35" s="615"/>
      <c r="J35" s="24" t="s">
        <v>857</v>
      </c>
      <c r="K35" s="24"/>
      <c r="L35" s="615"/>
      <c r="M35" s="615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6" right="0.3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6">
      <selection activeCell="S10" sqref="S10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522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31" t="s">
        <v>383</v>
      </c>
      <c r="B2" s="624"/>
      <c r="C2" s="584"/>
      <c r="D2" s="584"/>
      <c r="E2" s="616" t="str">
        <f>'справка №1-БАЛАНС'!E3</f>
        <v>Булгар Чех Инвест Холдинг АД - Смолян</v>
      </c>
      <c r="F2" s="632"/>
      <c r="G2" s="632"/>
      <c r="H2" s="584"/>
      <c r="I2" s="440"/>
      <c r="J2" s="440"/>
      <c r="K2" s="440"/>
      <c r="L2" s="440"/>
      <c r="M2" s="627" t="s">
        <v>2</v>
      </c>
      <c r="N2" s="623"/>
      <c r="O2" s="623"/>
      <c r="P2" s="628">
        <f>'справка №1-БАЛАНС'!H3</f>
        <v>0</v>
      </c>
      <c r="Q2" s="628"/>
      <c r="R2" s="352"/>
    </row>
    <row r="3" spans="1:18" ht="15">
      <c r="A3" s="631" t="s">
        <v>5</v>
      </c>
      <c r="B3" s="624"/>
      <c r="C3" s="585"/>
      <c r="D3" s="585"/>
      <c r="E3" s="616" t="str">
        <f>'справка №1-БАЛАНС'!E5</f>
        <v> 2008 г. 31.03 - първо тримесечие</v>
      </c>
      <c r="F3" s="633"/>
      <c r="G3" s="633"/>
      <c r="H3" s="442"/>
      <c r="I3" s="442"/>
      <c r="J3" s="442"/>
      <c r="K3" s="442"/>
      <c r="L3" s="442"/>
      <c r="M3" s="629" t="s">
        <v>4</v>
      </c>
      <c r="N3" s="629"/>
      <c r="O3" s="576"/>
      <c r="P3" s="630" t="str">
        <f>'справка №1-БАЛАНС'!H4</f>
        <v> </v>
      </c>
      <c r="Q3" s="630"/>
      <c r="R3" s="353"/>
    </row>
    <row r="4" spans="1:18" ht="12.75">
      <c r="A4" s="435" t="s">
        <v>523</v>
      </c>
      <c r="B4" s="441"/>
      <c r="C4" s="441"/>
      <c r="D4" s="442"/>
      <c r="E4" s="619"/>
      <c r="F4" s="620"/>
      <c r="G4" s="620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524</v>
      </c>
    </row>
    <row r="5" spans="1:18" s="44" customFormat="1" ht="30.75" customHeight="1">
      <c r="A5" s="621" t="s">
        <v>463</v>
      </c>
      <c r="B5" s="622"/>
      <c r="C5" s="605" t="s">
        <v>8</v>
      </c>
      <c r="D5" s="448" t="s">
        <v>525</v>
      </c>
      <c r="E5" s="448"/>
      <c r="F5" s="448"/>
      <c r="G5" s="448"/>
      <c r="H5" s="448" t="s">
        <v>526</v>
      </c>
      <c r="I5" s="448"/>
      <c r="J5" s="625" t="s">
        <v>527</v>
      </c>
      <c r="K5" s="448" t="s">
        <v>528</v>
      </c>
      <c r="L5" s="448"/>
      <c r="M5" s="448"/>
      <c r="N5" s="448"/>
      <c r="O5" s="448" t="s">
        <v>526</v>
      </c>
      <c r="P5" s="448"/>
      <c r="Q5" s="625" t="s">
        <v>529</v>
      </c>
      <c r="R5" s="625" t="s">
        <v>530</v>
      </c>
    </row>
    <row r="6" spans="1:18" s="44" customFormat="1" ht="48">
      <c r="A6" s="603"/>
      <c r="B6" s="604"/>
      <c r="C6" s="606"/>
      <c r="D6" s="449" t="s">
        <v>531</v>
      </c>
      <c r="E6" s="449" t="s">
        <v>532</v>
      </c>
      <c r="F6" s="449" t="s">
        <v>533</v>
      </c>
      <c r="G6" s="449" t="s">
        <v>534</v>
      </c>
      <c r="H6" s="449" t="s">
        <v>535</v>
      </c>
      <c r="I6" s="449" t="s">
        <v>536</v>
      </c>
      <c r="J6" s="626"/>
      <c r="K6" s="449" t="s">
        <v>531</v>
      </c>
      <c r="L6" s="449" t="s">
        <v>537</v>
      </c>
      <c r="M6" s="449" t="s">
        <v>538</v>
      </c>
      <c r="N6" s="449" t="s">
        <v>539</v>
      </c>
      <c r="O6" s="449" t="s">
        <v>535</v>
      </c>
      <c r="P6" s="449" t="s">
        <v>536</v>
      </c>
      <c r="Q6" s="626"/>
      <c r="R6" s="626"/>
    </row>
    <row r="7" spans="1:18" s="44" customFormat="1" ht="12">
      <c r="A7" s="451" t="s">
        <v>540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541</v>
      </c>
      <c r="B8" s="454" t="s">
        <v>542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543</v>
      </c>
      <c r="B9" s="457" t="s">
        <v>544</v>
      </c>
      <c r="C9" s="458" t="s">
        <v>545</v>
      </c>
      <c r="D9" s="242">
        <f>262-70</f>
        <v>192</v>
      </c>
      <c r="E9" s="242"/>
      <c r="F9" s="242"/>
      <c r="G9" s="113">
        <f>D9+E9-F9</f>
        <v>192</v>
      </c>
      <c r="H9" s="103"/>
      <c r="I9" s="103"/>
      <c r="J9" s="113">
        <f>G9+H9-I9</f>
        <v>192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192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546</v>
      </c>
      <c r="B10" s="457" t="s">
        <v>547</v>
      </c>
      <c r="C10" s="458" t="s">
        <v>548</v>
      </c>
      <c r="D10" s="242">
        <f>1595+1234-52</f>
        <v>2777</v>
      </c>
      <c r="E10" s="242"/>
      <c r="F10" s="242">
        <v>25</v>
      </c>
      <c r="G10" s="113">
        <f aca="true" t="shared" si="2" ref="G10:G39">D10+E10-F10</f>
        <v>2752</v>
      </c>
      <c r="H10" s="103"/>
      <c r="I10" s="103"/>
      <c r="J10" s="113">
        <f aca="true" t="shared" si="3" ref="J10:J39">G10+H10-I10</f>
        <v>2752</v>
      </c>
      <c r="K10" s="103">
        <f>227+25-9</f>
        <v>243</v>
      </c>
      <c r="L10" s="103">
        <f>49-22</f>
        <v>27</v>
      </c>
      <c r="M10" s="103">
        <v>3</v>
      </c>
      <c r="N10" s="113">
        <f aca="true" t="shared" si="4" ref="N10:N39">K10+L10-M10</f>
        <v>267</v>
      </c>
      <c r="O10" s="103"/>
      <c r="P10" s="103"/>
      <c r="Q10" s="113">
        <f t="shared" si="0"/>
        <v>267</v>
      </c>
      <c r="R10" s="113">
        <f t="shared" si="1"/>
        <v>2485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549</v>
      </c>
      <c r="B11" s="457" t="s">
        <v>550</v>
      </c>
      <c r="C11" s="458" t="s">
        <v>551</v>
      </c>
      <c r="D11" s="242">
        <f>498+27</f>
        <v>525</v>
      </c>
      <c r="E11" s="242"/>
      <c r="F11" s="242"/>
      <c r="G11" s="113">
        <f t="shared" si="2"/>
        <v>525</v>
      </c>
      <c r="H11" s="103"/>
      <c r="I11" s="103"/>
      <c r="J11" s="113">
        <f t="shared" si="3"/>
        <v>525</v>
      </c>
      <c r="K11" s="103">
        <f>377+36</f>
        <v>413</v>
      </c>
      <c r="L11" s="103">
        <v>5</v>
      </c>
      <c r="M11" s="103"/>
      <c r="N11" s="113">
        <f t="shared" si="4"/>
        <v>418</v>
      </c>
      <c r="O11" s="103"/>
      <c r="P11" s="103"/>
      <c r="Q11" s="113">
        <f t="shared" si="0"/>
        <v>418</v>
      </c>
      <c r="R11" s="113">
        <f t="shared" si="1"/>
        <v>107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552</v>
      </c>
      <c r="B12" s="457" t="s">
        <v>553</v>
      </c>
      <c r="C12" s="458" t="s">
        <v>554</v>
      </c>
      <c r="D12" s="242">
        <f>549+204</f>
        <v>753</v>
      </c>
      <c r="E12" s="242"/>
      <c r="F12" s="242"/>
      <c r="G12" s="113">
        <f t="shared" si="2"/>
        <v>753</v>
      </c>
      <c r="H12" s="103"/>
      <c r="I12" s="103"/>
      <c r="J12" s="113">
        <f t="shared" si="3"/>
        <v>753</v>
      </c>
      <c r="K12" s="103">
        <f>23+14</f>
        <v>37</v>
      </c>
      <c r="L12" s="103">
        <v>0</v>
      </c>
      <c r="M12" s="103"/>
      <c r="N12" s="113">
        <f t="shared" si="4"/>
        <v>37</v>
      </c>
      <c r="O12" s="103"/>
      <c r="P12" s="103"/>
      <c r="Q12" s="113">
        <f t="shared" si="0"/>
        <v>37</v>
      </c>
      <c r="R12" s="113">
        <f t="shared" si="1"/>
        <v>716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555</v>
      </c>
      <c r="B13" s="457" t="s">
        <v>556</v>
      </c>
      <c r="C13" s="458" t="s">
        <v>557</v>
      </c>
      <c r="D13" s="242">
        <f>140+25</f>
        <v>165</v>
      </c>
      <c r="E13" s="242">
        <v>32</v>
      </c>
      <c r="F13" s="242"/>
      <c r="G13" s="113">
        <f t="shared" si="2"/>
        <v>197</v>
      </c>
      <c r="H13" s="103"/>
      <c r="I13" s="103"/>
      <c r="J13" s="113">
        <f t="shared" si="3"/>
        <v>197</v>
      </c>
      <c r="K13" s="103">
        <f>114+19</f>
        <v>133</v>
      </c>
      <c r="L13" s="103">
        <v>2</v>
      </c>
      <c r="M13" s="103"/>
      <c r="N13" s="113">
        <f t="shared" si="4"/>
        <v>135</v>
      </c>
      <c r="O13" s="103"/>
      <c r="P13" s="103"/>
      <c r="Q13" s="113">
        <f t="shared" si="0"/>
        <v>135</v>
      </c>
      <c r="R13" s="113">
        <f t="shared" si="1"/>
        <v>62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558</v>
      </c>
      <c r="B14" s="457" t="s">
        <v>559</v>
      </c>
      <c r="C14" s="458" t="s">
        <v>560</v>
      </c>
      <c r="D14" s="242">
        <f>154+2-12</f>
        <v>144</v>
      </c>
      <c r="E14" s="242"/>
      <c r="F14" s="242"/>
      <c r="G14" s="113">
        <f t="shared" si="2"/>
        <v>144</v>
      </c>
      <c r="H14" s="103"/>
      <c r="I14" s="103"/>
      <c r="J14" s="113">
        <f t="shared" si="3"/>
        <v>144</v>
      </c>
      <c r="K14" s="103">
        <f>9+14-5</f>
        <v>18</v>
      </c>
      <c r="L14" s="103">
        <v>4</v>
      </c>
      <c r="M14" s="103"/>
      <c r="N14" s="113">
        <f t="shared" si="4"/>
        <v>22</v>
      </c>
      <c r="O14" s="103"/>
      <c r="P14" s="103"/>
      <c r="Q14" s="113">
        <f t="shared" si="0"/>
        <v>22</v>
      </c>
      <c r="R14" s="113">
        <f t="shared" si="1"/>
        <v>122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2" t="s">
        <v>858</v>
      </c>
      <c r="B15" s="465" t="s">
        <v>859</v>
      </c>
      <c r="C15" s="563" t="s">
        <v>860</v>
      </c>
      <c r="D15" s="564">
        <f>338+15-298</f>
        <v>55</v>
      </c>
      <c r="E15" s="564">
        <v>1</v>
      </c>
      <c r="F15" s="564"/>
      <c r="G15" s="113">
        <f t="shared" si="2"/>
        <v>56</v>
      </c>
      <c r="H15" s="565"/>
      <c r="I15" s="565"/>
      <c r="J15" s="113">
        <f t="shared" si="3"/>
        <v>56</v>
      </c>
      <c r="K15" s="103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56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7" t="s">
        <v>561</v>
      </c>
      <c r="B16" s="246" t="s">
        <v>562</v>
      </c>
      <c r="C16" s="458" t="s">
        <v>563</v>
      </c>
      <c r="D16" s="242">
        <f>30+16-1</f>
        <v>45</v>
      </c>
      <c r="E16" s="242">
        <v>4</v>
      </c>
      <c r="F16" s="242"/>
      <c r="G16" s="113">
        <f t="shared" si="2"/>
        <v>49</v>
      </c>
      <c r="H16" s="103"/>
      <c r="I16" s="103"/>
      <c r="J16" s="113">
        <f t="shared" si="3"/>
        <v>49</v>
      </c>
      <c r="K16" s="103">
        <f>12+5</f>
        <v>17</v>
      </c>
      <c r="L16" s="103">
        <v>1</v>
      </c>
      <c r="M16" s="103"/>
      <c r="N16" s="113">
        <f t="shared" si="4"/>
        <v>18</v>
      </c>
      <c r="O16" s="103"/>
      <c r="P16" s="103"/>
      <c r="Q16" s="113">
        <f aca="true" t="shared" si="5" ref="Q16:Q25">N16+O16-P16</f>
        <v>18</v>
      </c>
      <c r="R16" s="113">
        <f aca="true" t="shared" si="6" ref="R16:R25">J16-Q16</f>
        <v>31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564</v>
      </c>
      <c r="C17" s="460" t="s">
        <v>565</v>
      </c>
      <c r="D17" s="247">
        <f>SUM(D9:D16)</f>
        <v>4656</v>
      </c>
      <c r="E17" s="247">
        <f>SUM(E9:E16)</f>
        <v>37</v>
      </c>
      <c r="F17" s="247">
        <f>SUM(F9:F16)</f>
        <v>25</v>
      </c>
      <c r="G17" s="113">
        <f t="shared" si="2"/>
        <v>4668</v>
      </c>
      <c r="H17" s="114">
        <f>SUM(H9:H16)</f>
        <v>0</v>
      </c>
      <c r="I17" s="114">
        <f>SUM(I9:I16)</f>
        <v>0</v>
      </c>
      <c r="J17" s="113">
        <f t="shared" si="3"/>
        <v>4668</v>
      </c>
      <c r="K17" s="114">
        <f>SUM(K9:K16)</f>
        <v>861</v>
      </c>
      <c r="L17" s="114">
        <f>SUM(L9:L16)</f>
        <v>39</v>
      </c>
      <c r="M17" s="114">
        <f>SUM(M9:M16)</f>
        <v>3</v>
      </c>
      <c r="N17" s="113">
        <f t="shared" si="4"/>
        <v>897</v>
      </c>
      <c r="O17" s="114">
        <f>SUM(O9:O16)</f>
        <v>0</v>
      </c>
      <c r="P17" s="114">
        <f>SUM(P9:P16)</f>
        <v>0</v>
      </c>
      <c r="Q17" s="113">
        <f t="shared" si="5"/>
        <v>897</v>
      </c>
      <c r="R17" s="113">
        <f t="shared" si="6"/>
        <v>3771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566</v>
      </c>
      <c r="B18" s="462" t="s">
        <v>567</v>
      </c>
      <c r="C18" s="460" t="s">
        <v>568</v>
      </c>
      <c r="D18" s="240"/>
      <c r="E18" s="240"/>
      <c r="F18" s="240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569</v>
      </c>
      <c r="B19" s="462" t="s">
        <v>570</v>
      </c>
      <c r="C19" s="460" t="s">
        <v>571</v>
      </c>
      <c r="D19" s="240"/>
      <c r="E19" s="240"/>
      <c r="F19" s="240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572</v>
      </c>
      <c r="B20" s="454" t="s">
        <v>573</v>
      </c>
      <c r="C20" s="458"/>
      <c r="D20" s="241"/>
      <c r="E20" s="241"/>
      <c r="F20" s="241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543</v>
      </c>
      <c r="B21" s="457" t="s">
        <v>574</v>
      </c>
      <c r="C21" s="458" t="s">
        <v>575</v>
      </c>
      <c r="D21" s="242"/>
      <c r="E21" s="242"/>
      <c r="F21" s="242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546</v>
      </c>
      <c r="B22" s="457" t="s">
        <v>576</v>
      </c>
      <c r="C22" s="458" t="s">
        <v>577</v>
      </c>
      <c r="D22" s="242">
        <f>25+2-2</f>
        <v>25</v>
      </c>
      <c r="E22" s="242"/>
      <c r="F22" s="242"/>
      <c r="G22" s="113">
        <f t="shared" si="2"/>
        <v>25</v>
      </c>
      <c r="H22" s="103"/>
      <c r="I22" s="103"/>
      <c r="J22" s="113">
        <f t="shared" si="3"/>
        <v>25</v>
      </c>
      <c r="K22" s="103">
        <f>20-2</f>
        <v>18</v>
      </c>
      <c r="L22" s="103">
        <v>1</v>
      </c>
      <c r="M22" s="103"/>
      <c r="N22" s="113">
        <f t="shared" si="4"/>
        <v>19</v>
      </c>
      <c r="O22" s="103"/>
      <c r="P22" s="103"/>
      <c r="Q22" s="113">
        <f t="shared" si="5"/>
        <v>19</v>
      </c>
      <c r="R22" s="113">
        <f t="shared" si="6"/>
        <v>6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549</v>
      </c>
      <c r="B23" s="465" t="s">
        <v>578</v>
      </c>
      <c r="C23" s="458" t="s">
        <v>579</v>
      </c>
      <c r="D23" s="242">
        <v>1</v>
      </c>
      <c r="E23" s="242"/>
      <c r="F23" s="242"/>
      <c r="G23" s="113">
        <f t="shared" si="2"/>
        <v>1</v>
      </c>
      <c r="H23" s="103"/>
      <c r="I23" s="103"/>
      <c r="J23" s="113">
        <f t="shared" si="3"/>
        <v>1</v>
      </c>
      <c r="K23" s="103">
        <v>1</v>
      </c>
      <c r="L23" s="103"/>
      <c r="M23" s="103"/>
      <c r="N23" s="113">
        <f t="shared" si="4"/>
        <v>1</v>
      </c>
      <c r="O23" s="103"/>
      <c r="P23" s="103"/>
      <c r="Q23" s="113">
        <f t="shared" si="5"/>
        <v>1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552</v>
      </c>
      <c r="B24" s="466" t="s">
        <v>562</v>
      </c>
      <c r="C24" s="458" t="s">
        <v>580</v>
      </c>
      <c r="D24" s="242">
        <v>17</v>
      </c>
      <c r="E24" s="242"/>
      <c r="F24" s="242"/>
      <c r="G24" s="113">
        <f t="shared" si="2"/>
        <v>17</v>
      </c>
      <c r="H24" s="103"/>
      <c r="I24" s="103"/>
      <c r="J24" s="113">
        <f t="shared" si="3"/>
        <v>17</v>
      </c>
      <c r="K24" s="103">
        <f>12+3</f>
        <v>15</v>
      </c>
      <c r="L24" s="103">
        <v>1</v>
      </c>
      <c r="M24" s="103"/>
      <c r="N24" s="113">
        <f t="shared" si="4"/>
        <v>16</v>
      </c>
      <c r="O24" s="103"/>
      <c r="P24" s="103"/>
      <c r="Q24" s="113">
        <f t="shared" si="5"/>
        <v>16</v>
      </c>
      <c r="R24" s="113">
        <f t="shared" si="6"/>
        <v>1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838</v>
      </c>
      <c r="C25" s="467" t="s">
        <v>582</v>
      </c>
      <c r="D25" s="243">
        <f>SUM(D21:D24)</f>
        <v>43</v>
      </c>
      <c r="E25" s="243">
        <f aca="true" t="shared" si="7" ref="E25:P25">SUM(E21:E24)</f>
        <v>0</v>
      </c>
      <c r="F25" s="243">
        <f t="shared" si="7"/>
        <v>0</v>
      </c>
      <c r="G25" s="105">
        <f t="shared" si="2"/>
        <v>43</v>
      </c>
      <c r="H25" s="104">
        <f t="shared" si="7"/>
        <v>0</v>
      </c>
      <c r="I25" s="104">
        <f t="shared" si="7"/>
        <v>0</v>
      </c>
      <c r="J25" s="105">
        <f t="shared" si="3"/>
        <v>43</v>
      </c>
      <c r="K25" s="104">
        <f t="shared" si="7"/>
        <v>34</v>
      </c>
      <c r="L25" s="104">
        <f t="shared" si="7"/>
        <v>2</v>
      </c>
      <c r="M25" s="104">
        <f t="shared" si="7"/>
        <v>0</v>
      </c>
      <c r="N25" s="105">
        <f t="shared" si="4"/>
        <v>36</v>
      </c>
      <c r="O25" s="104">
        <f t="shared" si="7"/>
        <v>0</v>
      </c>
      <c r="P25" s="104">
        <f t="shared" si="7"/>
        <v>0</v>
      </c>
      <c r="Q25" s="105">
        <f t="shared" si="5"/>
        <v>36</v>
      </c>
      <c r="R25" s="105">
        <f t="shared" si="6"/>
        <v>7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583</v>
      </c>
      <c r="B26" s="468" t="s">
        <v>584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543</v>
      </c>
      <c r="B27" s="470" t="s">
        <v>853</v>
      </c>
      <c r="C27" s="471" t="s">
        <v>585</v>
      </c>
      <c r="D27" s="245">
        <f>SUM(D28:D31)</f>
        <v>522</v>
      </c>
      <c r="E27" s="245">
        <f aca="true" t="shared" si="8" ref="E27:P27">SUM(E28:E31)</f>
        <v>0</v>
      </c>
      <c r="F27" s="245">
        <f t="shared" si="8"/>
        <v>17</v>
      </c>
      <c r="G27" s="110">
        <f t="shared" si="2"/>
        <v>505</v>
      </c>
      <c r="H27" s="109">
        <f t="shared" si="8"/>
        <v>0</v>
      </c>
      <c r="I27" s="109">
        <f t="shared" si="8"/>
        <v>0</v>
      </c>
      <c r="J27" s="110">
        <f t="shared" si="3"/>
        <v>505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505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586</v>
      </c>
      <c r="D28" s="242"/>
      <c r="E28" s="242"/>
      <c r="F28" s="242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587</v>
      </c>
      <c r="D29" s="242"/>
      <c r="E29" s="242"/>
      <c r="F29" s="242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588</v>
      </c>
      <c r="D30" s="242">
        <f>533+72-129</f>
        <v>476</v>
      </c>
      <c r="E30" s="242"/>
      <c r="F30" s="242">
        <v>17</v>
      </c>
      <c r="G30" s="113">
        <f t="shared" si="2"/>
        <v>459</v>
      </c>
      <c r="H30" s="111"/>
      <c r="I30" s="111"/>
      <c r="J30" s="113">
        <f t="shared" si="3"/>
        <v>459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459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589</v>
      </c>
      <c r="D31" s="242">
        <f>47+100-101</f>
        <v>46</v>
      </c>
      <c r="E31" s="242"/>
      <c r="F31" s="242"/>
      <c r="G31" s="113">
        <f t="shared" si="2"/>
        <v>46</v>
      </c>
      <c r="H31" s="111"/>
      <c r="I31" s="111"/>
      <c r="J31" s="113">
        <f t="shared" si="3"/>
        <v>46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46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546</v>
      </c>
      <c r="B32" s="470" t="s">
        <v>590</v>
      </c>
      <c r="C32" s="458" t="s">
        <v>591</v>
      </c>
      <c r="D32" s="246">
        <f>SUM(D33:D36)</f>
        <v>0</v>
      </c>
      <c r="E32" s="246">
        <f aca="true" t="shared" si="11" ref="E32:P32">SUM(E33:E36)</f>
        <v>0</v>
      </c>
      <c r="F32" s="246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592</v>
      </c>
      <c r="D33" s="242"/>
      <c r="E33" s="242"/>
      <c r="F33" s="242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593</v>
      </c>
      <c r="C34" s="458" t="s">
        <v>594</v>
      </c>
      <c r="D34" s="242"/>
      <c r="E34" s="242"/>
      <c r="F34" s="242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595</v>
      </c>
      <c r="C35" s="458" t="s">
        <v>596</v>
      </c>
      <c r="D35" s="242"/>
      <c r="E35" s="242"/>
      <c r="F35" s="242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597</v>
      </c>
      <c r="C36" s="458" t="s">
        <v>598</v>
      </c>
      <c r="D36" s="242"/>
      <c r="E36" s="242"/>
      <c r="F36" s="242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549</v>
      </c>
      <c r="B37" s="472" t="s">
        <v>562</v>
      </c>
      <c r="C37" s="458" t="s">
        <v>599</v>
      </c>
      <c r="D37" s="242">
        <v>8</v>
      </c>
      <c r="E37" s="242">
        <v>0</v>
      </c>
      <c r="F37" s="242"/>
      <c r="G37" s="113">
        <f t="shared" si="2"/>
        <v>8</v>
      </c>
      <c r="H37" s="111"/>
      <c r="I37" s="111"/>
      <c r="J37" s="113">
        <f t="shared" si="3"/>
        <v>8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8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854</v>
      </c>
      <c r="C38" s="460" t="s">
        <v>601</v>
      </c>
      <c r="D38" s="247">
        <f>D27+D32+D37</f>
        <v>530</v>
      </c>
      <c r="E38" s="247">
        <f aca="true" t="shared" si="12" ref="E38:P38">E27+E32+E37</f>
        <v>0</v>
      </c>
      <c r="F38" s="247">
        <f t="shared" si="12"/>
        <v>17</v>
      </c>
      <c r="G38" s="113">
        <f t="shared" si="2"/>
        <v>513</v>
      </c>
      <c r="H38" s="114">
        <f t="shared" si="12"/>
        <v>0</v>
      </c>
      <c r="I38" s="114">
        <f t="shared" si="12"/>
        <v>0</v>
      </c>
      <c r="J38" s="113">
        <f t="shared" si="3"/>
        <v>513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513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602</v>
      </c>
      <c r="B39" s="461" t="s">
        <v>603</v>
      </c>
      <c r="C39" s="460" t="s">
        <v>604</v>
      </c>
      <c r="D39" s="596">
        <v>166</v>
      </c>
      <c r="E39" s="596"/>
      <c r="F39" s="596"/>
      <c r="G39" s="113">
        <f t="shared" si="2"/>
        <v>166</v>
      </c>
      <c r="H39" s="596"/>
      <c r="I39" s="596"/>
      <c r="J39" s="113">
        <f t="shared" si="3"/>
        <v>166</v>
      </c>
      <c r="K39" s="596">
        <f>66+1</f>
        <v>67</v>
      </c>
      <c r="L39" s="596"/>
      <c r="M39" s="596"/>
      <c r="N39" s="113">
        <f t="shared" si="4"/>
        <v>67</v>
      </c>
      <c r="O39" s="596"/>
      <c r="P39" s="596"/>
      <c r="Q39" s="113">
        <f t="shared" si="9"/>
        <v>67</v>
      </c>
      <c r="R39" s="113">
        <f t="shared" si="10"/>
        <v>99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605</v>
      </c>
      <c r="C40" s="450" t="s">
        <v>606</v>
      </c>
      <c r="D40" s="546">
        <f>D17+D18+D19+D25+D38+D39</f>
        <v>5395</v>
      </c>
      <c r="E40" s="546">
        <f>E17+E18+E19+E25+E38+E39</f>
        <v>37</v>
      </c>
      <c r="F40" s="546">
        <f aca="true" t="shared" si="13" ref="F40:R40">F17+F18+F19+F25+F38+F39</f>
        <v>42</v>
      </c>
      <c r="G40" s="546">
        <f t="shared" si="13"/>
        <v>5390</v>
      </c>
      <c r="H40" s="546">
        <f t="shared" si="13"/>
        <v>0</v>
      </c>
      <c r="I40" s="546">
        <f t="shared" si="13"/>
        <v>0</v>
      </c>
      <c r="J40" s="546">
        <f t="shared" si="13"/>
        <v>5390</v>
      </c>
      <c r="K40" s="546">
        <f t="shared" si="13"/>
        <v>962</v>
      </c>
      <c r="L40" s="546">
        <f t="shared" si="13"/>
        <v>41</v>
      </c>
      <c r="M40" s="546">
        <f t="shared" si="13"/>
        <v>3</v>
      </c>
      <c r="N40" s="546">
        <f t="shared" si="13"/>
        <v>1000</v>
      </c>
      <c r="O40" s="546">
        <f t="shared" si="13"/>
        <v>0</v>
      </c>
      <c r="P40" s="546">
        <f t="shared" si="13"/>
        <v>0</v>
      </c>
      <c r="Q40" s="546">
        <f t="shared" si="13"/>
        <v>1000</v>
      </c>
      <c r="R40" s="546">
        <f t="shared" si="13"/>
        <v>4390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>
        <f>'справка №2-ОТЧЕТ ЗА ДОХОДИТE'!C11</f>
        <v>41</v>
      </c>
      <c r="M41" s="475"/>
      <c r="N41" s="475"/>
      <c r="O41" s="475"/>
      <c r="P41" s="475"/>
      <c r="Q41" s="475"/>
      <c r="R41" s="475">
        <f>'справка №1-БАЛАНС'!C19+'справка №1-БАЛАНС'!C20+'справка №1-БАЛАНС'!C21+'справка №1-БАЛАНС'!C27+'справка №1-БАЛАНС'!C30+'справка №1-БАЛАНС'!C45</f>
        <v>4390</v>
      </c>
    </row>
    <row r="42" spans="1:18" ht="12">
      <c r="A42" s="435"/>
      <c r="B42" s="435" t="s">
        <v>607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75">
        <f>L41-L40</f>
        <v>0</v>
      </c>
      <c r="M42" s="438"/>
      <c r="N42" s="438"/>
      <c r="O42" s="438"/>
      <c r="P42" s="438"/>
      <c r="Q42" s="438"/>
      <c r="R42" s="475">
        <f>R40-R41</f>
        <v>0</v>
      </c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tr">
        <f>'справка №1-БАЛАНС'!A98</f>
        <v>Дата на съставяне: 25.05.2008 г</v>
      </c>
      <c r="C44" s="444"/>
      <c r="D44" s="445"/>
      <c r="E44" s="445"/>
      <c r="F44" s="445"/>
      <c r="G44" s="435"/>
      <c r="H44" s="446" t="s">
        <v>608</v>
      </c>
      <c r="I44" s="446"/>
      <c r="J44" s="446"/>
      <c r="K44" s="607"/>
      <c r="L44" s="607"/>
      <c r="M44" s="607"/>
      <c r="N44" s="607"/>
      <c r="O44" s="623" t="s">
        <v>781</v>
      </c>
      <c r="P44" s="624"/>
      <c r="Q44" s="624"/>
      <c r="R44" s="624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D9:F16 H9:I16 K9:M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63">
      <selection activeCell="A107" sqref="A107:F107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7" t="s">
        <v>609</v>
      </c>
      <c r="B1" s="637"/>
      <c r="C1" s="637"/>
      <c r="D1" s="637"/>
      <c r="E1" s="637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8" t="str">
        <f>"Име на отчитащото се предприятие:"&amp;"           "&amp;'справка №1-БАЛАНС'!E3</f>
        <v>Име на отчитащото се предприятие:           Булгар Чех Инвест Холдинг АД - Смолян</v>
      </c>
      <c r="B3" s="638"/>
      <c r="C3" s="352" t="s">
        <v>2</v>
      </c>
      <c r="E3" s="352">
        <f>'справка №1-БАЛАНС'!H3</f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9" t="str">
        <f>"Отчетен период:"&amp;"           "&amp;'справка №1-БАЛАНС'!E5</f>
        <v>Отчетен период:            2008 г. 31.03 - първо тримесечие</v>
      </c>
      <c r="B4" s="639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610</v>
      </c>
      <c r="B5" s="511"/>
      <c r="C5" s="512"/>
      <c r="D5" s="512"/>
      <c r="E5" s="513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612</v>
      </c>
      <c r="D6" s="191" t="s">
        <v>613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616</v>
      </c>
      <c r="B9" s="485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618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619</v>
      </c>
      <c r="B11" s="488" t="s">
        <v>620</v>
      </c>
      <c r="C11" s="165">
        <f>SUM(C12:C14)</f>
        <v>822</v>
      </c>
      <c r="D11" s="165">
        <f>SUM(D12:D14)</f>
        <v>0</v>
      </c>
      <c r="E11" s="166">
        <f>SUM(E12:E14)</f>
        <v>822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621</v>
      </c>
      <c r="B12" s="488" t="s">
        <v>622</v>
      </c>
      <c r="C12" s="153">
        <f>'справка №1-БАЛАНС'!C47</f>
        <v>822</v>
      </c>
      <c r="D12" s="153"/>
      <c r="E12" s="166">
        <f aca="true" t="shared" si="0" ref="E12:E42">C12-D12</f>
        <v>822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623</v>
      </c>
      <c r="B13" s="488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625</v>
      </c>
      <c r="B14" s="488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627</v>
      </c>
      <c r="B15" s="488" t="s">
        <v>628</v>
      </c>
      <c r="C15" s="153">
        <f>'справка №1-БАЛАНС'!C48</f>
        <v>349</v>
      </c>
      <c r="D15" s="153"/>
      <c r="E15" s="166">
        <f t="shared" si="0"/>
        <v>349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629</v>
      </c>
      <c r="B16" s="488" t="s">
        <v>630</v>
      </c>
      <c r="C16" s="165">
        <f>+C17+C18</f>
        <v>4</v>
      </c>
      <c r="D16" s="165">
        <f>+D17+D18</f>
        <v>0</v>
      </c>
      <c r="E16" s="166">
        <f t="shared" si="0"/>
        <v>4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631</v>
      </c>
      <c r="B17" s="488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625</v>
      </c>
      <c r="B18" s="488" t="s">
        <v>633</v>
      </c>
      <c r="C18" s="153">
        <f>'справка №1-БАЛАНС'!C50</f>
        <v>4</v>
      </c>
      <c r="D18" s="153"/>
      <c r="E18" s="166">
        <f t="shared" si="0"/>
        <v>4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634</v>
      </c>
      <c r="B19" s="485" t="s">
        <v>635</v>
      </c>
      <c r="C19" s="149">
        <f>C11+C15+C16</f>
        <v>1175</v>
      </c>
      <c r="D19" s="149">
        <f>D11+D15+D16</f>
        <v>0</v>
      </c>
      <c r="E19" s="164">
        <f>E11+E15+E16</f>
        <v>1175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636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637</v>
      </c>
      <c r="B21" s="485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639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640</v>
      </c>
      <c r="B24" s="488" t="s">
        <v>641</v>
      </c>
      <c r="C24" s="165">
        <f>SUM(C25:C27)</f>
        <v>42</v>
      </c>
      <c r="D24" s="165">
        <f>SUM(D25:D27)</f>
        <v>10</v>
      </c>
      <c r="E24" s="166">
        <f>SUM(E25:E27)</f>
        <v>32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642</v>
      </c>
      <c r="B25" s="488" t="s">
        <v>643</v>
      </c>
      <c r="C25" s="153">
        <f>'справка №1-БАЛАНС'!C67-C26</f>
        <v>32</v>
      </c>
      <c r="D25" s="153"/>
      <c r="E25" s="166">
        <f t="shared" si="0"/>
        <v>32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644</v>
      </c>
      <c r="B26" s="488" t="s">
        <v>645</v>
      </c>
      <c r="C26" s="153">
        <v>10</v>
      </c>
      <c r="D26" s="153">
        <v>10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646</v>
      </c>
      <c r="B27" s="488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648</v>
      </c>
      <c r="B28" s="488" t="s">
        <v>649</v>
      </c>
      <c r="C28" s="153">
        <f>'справка №1-БАЛАНС'!C68</f>
        <v>566</v>
      </c>
      <c r="D28" s="153">
        <v>179</v>
      </c>
      <c r="E28" s="166">
        <f t="shared" si="0"/>
        <v>387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650</v>
      </c>
      <c r="B29" s="488" t="s">
        <v>651</v>
      </c>
      <c r="C29" s="153">
        <f>'справка №1-БАЛАНС'!C69</f>
        <v>9</v>
      </c>
      <c r="D29" s="153"/>
      <c r="E29" s="166">
        <f t="shared" si="0"/>
        <v>9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652</v>
      </c>
      <c r="B30" s="488" t="s">
        <v>653</v>
      </c>
      <c r="C30" s="153">
        <f>'справка №1-БАЛАНС'!C70</f>
        <v>89</v>
      </c>
      <c r="D30" s="153">
        <v>52</v>
      </c>
      <c r="E30" s="166">
        <f t="shared" si="0"/>
        <v>37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654</v>
      </c>
      <c r="B31" s="488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656</v>
      </c>
      <c r="B32" s="488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658</v>
      </c>
      <c r="B33" s="488" t="s">
        <v>659</v>
      </c>
      <c r="C33" s="150">
        <f>SUM(C34:C37)</f>
        <v>47</v>
      </c>
      <c r="D33" s="150">
        <f>SUM(D34:D37)</f>
        <v>34</v>
      </c>
      <c r="E33" s="167">
        <f>SUM(E34:E37)</f>
        <v>13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660</v>
      </c>
      <c r="B34" s="488" t="s">
        <v>661</v>
      </c>
      <c r="C34" s="153">
        <f>'справка №1-БАЛАНС'!C72-C35</f>
        <v>9</v>
      </c>
      <c r="D34" s="153">
        <v>7</v>
      </c>
      <c r="E34" s="166">
        <f t="shared" si="0"/>
        <v>2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662</v>
      </c>
      <c r="B35" s="488" t="s">
        <v>663</v>
      </c>
      <c r="C35" s="153">
        <v>38</v>
      </c>
      <c r="D35" s="153">
        <v>27</v>
      </c>
      <c r="E35" s="166">
        <f t="shared" si="0"/>
        <v>11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664</v>
      </c>
      <c r="B36" s="488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666</v>
      </c>
      <c r="B37" s="488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668</v>
      </c>
      <c r="B38" s="488" t="s">
        <v>669</v>
      </c>
      <c r="C38" s="165">
        <f>SUM(C39:C42)</f>
        <v>298</v>
      </c>
      <c r="D38" s="150">
        <f>SUM(D39:D42)</f>
        <v>0</v>
      </c>
      <c r="E38" s="167">
        <f>SUM(E39:E42)</f>
        <v>298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670</v>
      </c>
      <c r="B39" s="488" t="s">
        <v>671</v>
      </c>
      <c r="C39" s="153">
        <f>'справка №1-БАЛАНС'!C73</f>
        <v>0</v>
      </c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672</v>
      </c>
      <c r="B40" s="488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674</v>
      </c>
      <c r="B41" s="488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676</v>
      </c>
      <c r="B42" s="488" t="s">
        <v>677</v>
      </c>
      <c r="C42" s="153">
        <f>'справка №1-БАЛАНС'!C74</f>
        <v>298</v>
      </c>
      <c r="D42" s="153"/>
      <c r="E42" s="166">
        <f t="shared" si="0"/>
        <v>298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678</v>
      </c>
      <c r="B43" s="485" t="s">
        <v>679</v>
      </c>
      <c r="C43" s="149">
        <f>C24+C28+C29+C31+C30+C32+C33+C38</f>
        <v>1051</v>
      </c>
      <c r="D43" s="149">
        <f>D24+D28+D29+D31+D30+D32+D33+D38</f>
        <v>275</v>
      </c>
      <c r="E43" s="164">
        <f>E24+E28+E29+E31+E30+E32+E33+E38</f>
        <v>776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680</v>
      </c>
      <c r="B44" s="486" t="s">
        <v>681</v>
      </c>
      <c r="C44" s="148">
        <f>C43+C21+C19+C9</f>
        <v>2226</v>
      </c>
      <c r="D44" s="148">
        <f>D43+D21+D19+D9</f>
        <v>275</v>
      </c>
      <c r="E44" s="164">
        <f>E43+E21+E19+E9</f>
        <v>1951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682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683</v>
      </c>
      <c r="D48" s="191" t="s">
        <v>684</v>
      </c>
      <c r="E48" s="191"/>
      <c r="F48" s="191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614</v>
      </c>
      <c r="E49" s="484" t="s">
        <v>615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686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687</v>
      </c>
      <c r="B52" s="488" t="s">
        <v>688</v>
      </c>
      <c r="C52" s="148">
        <f>SUM(C53:C55)</f>
        <v>151</v>
      </c>
      <c r="D52" s="148">
        <f>SUM(D53:D55)</f>
        <v>0</v>
      </c>
      <c r="E52" s="165">
        <f>C52-D52</f>
        <v>151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689</v>
      </c>
      <c r="B53" s="488" t="s">
        <v>690</v>
      </c>
      <c r="C53" s="153">
        <f>'справка №1-БАЛАНС'!G43</f>
        <v>151</v>
      </c>
      <c r="D53" s="153"/>
      <c r="E53" s="165">
        <f>C53-D53</f>
        <v>151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691</v>
      </c>
      <c r="B54" s="488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676</v>
      </c>
      <c r="B55" s="488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694</v>
      </c>
      <c r="B56" s="488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696</v>
      </c>
      <c r="B57" s="488" t="s">
        <v>697</v>
      </c>
      <c r="C57" s="153">
        <f>'справка №1-БАЛАНС'!G44</f>
        <v>0</v>
      </c>
      <c r="D57" s="153">
        <v>0</v>
      </c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698</v>
      </c>
      <c r="B58" s="488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700</v>
      </c>
      <c r="B59" s="488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698</v>
      </c>
      <c r="B60" s="488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704</v>
      </c>
      <c r="C62" s="153">
        <f>'справка №1-БАЛАНС'!G46</f>
        <v>210</v>
      </c>
      <c r="D62" s="153"/>
      <c r="E62" s="165">
        <f t="shared" si="1"/>
        <v>210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705</v>
      </c>
      <c r="B63" s="488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707</v>
      </c>
      <c r="B64" s="488" t="s">
        <v>708</v>
      </c>
      <c r="C64" s="153">
        <f>'справка №1-БАЛАНС'!G48</f>
        <v>3</v>
      </c>
      <c r="D64" s="153"/>
      <c r="E64" s="165">
        <f t="shared" si="1"/>
        <v>3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709</v>
      </c>
      <c r="B65" s="488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711</v>
      </c>
      <c r="B66" s="485" t="s">
        <v>712</v>
      </c>
      <c r="C66" s="148">
        <f>C52+C56+C61+C62+C63+C64</f>
        <v>364</v>
      </c>
      <c r="D66" s="148">
        <f>D52+D56+D61+D62+D63+D64</f>
        <v>0</v>
      </c>
      <c r="E66" s="165">
        <f t="shared" si="1"/>
        <v>364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713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714</v>
      </c>
      <c r="B68" s="498" t="s">
        <v>715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716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687</v>
      </c>
      <c r="B71" s="488" t="s">
        <v>717</v>
      </c>
      <c r="C71" s="150">
        <f>SUM(C72:C74)</f>
        <v>19</v>
      </c>
      <c r="D71" s="150">
        <f>SUM(D72:D74)</f>
        <v>0</v>
      </c>
      <c r="E71" s="150">
        <f>SUM(E72:E74)</f>
        <v>19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718</v>
      </c>
      <c r="B72" s="488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720</v>
      </c>
      <c r="B73" s="488" t="s">
        <v>721</v>
      </c>
      <c r="C73" s="153">
        <v>16</v>
      </c>
      <c r="D73" s="153"/>
      <c r="E73" s="165">
        <f t="shared" si="1"/>
        <v>16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722</v>
      </c>
      <c r="B74" s="488" t="s">
        <v>723</v>
      </c>
      <c r="C74" s="153">
        <f>'справка №1-БАЛАНС'!G62-C73</f>
        <v>3</v>
      </c>
      <c r="D74" s="153"/>
      <c r="E74" s="165">
        <f t="shared" si="1"/>
        <v>3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694</v>
      </c>
      <c r="B75" s="488" t="s">
        <v>724</v>
      </c>
      <c r="C75" s="148">
        <f>C76+C78</f>
        <v>210</v>
      </c>
      <c r="D75" s="148">
        <f>D76+D78</f>
        <v>14</v>
      </c>
      <c r="E75" s="148">
        <f>E76+E78</f>
        <v>196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725</v>
      </c>
      <c r="B76" s="488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727</v>
      </c>
      <c r="B77" s="488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729</v>
      </c>
      <c r="B78" s="488" t="s">
        <v>730</v>
      </c>
      <c r="C78" s="153">
        <f>'справка №1-БАЛАНС'!G59</f>
        <v>210</v>
      </c>
      <c r="D78" s="153">
        <v>14</v>
      </c>
      <c r="E78" s="165">
        <f t="shared" si="1"/>
        <v>196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698</v>
      </c>
      <c r="B79" s="488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732</v>
      </c>
      <c r="B80" s="488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734</v>
      </c>
      <c r="B81" s="488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736</v>
      </c>
      <c r="B82" s="488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738</v>
      </c>
      <c r="B83" s="488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740</v>
      </c>
      <c r="B84" s="488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742</v>
      </c>
      <c r="B85" s="488" t="s">
        <v>743</v>
      </c>
      <c r="C85" s="149">
        <f>SUM(C86:C90)+C94</f>
        <v>1646</v>
      </c>
      <c r="D85" s="149">
        <f>SUM(D86:D90)+D94</f>
        <v>624</v>
      </c>
      <c r="E85" s="149">
        <f>SUM(E86:E90)+E94</f>
        <v>1022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744</v>
      </c>
      <c r="B86" s="488" t="s">
        <v>745</v>
      </c>
      <c r="C86" s="153">
        <f>'справка №1-БАЛАНС'!G63</f>
        <v>321</v>
      </c>
      <c r="D86" s="153">
        <v>74</v>
      </c>
      <c r="E86" s="165">
        <f t="shared" si="1"/>
        <v>247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746</v>
      </c>
      <c r="B87" s="488" t="s">
        <v>747</v>
      </c>
      <c r="C87" s="153">
        <f>'справка №1-БАЛАНС'!G64</f>
        <v>734</v>
      </c>
      <c r="D87" s="153">
        <v>401</v>
      </c>
      <c r="E87" s="165">
        <f t="shared" si="1"/>
        <v>333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748</v>
      </c>
      <c r="B88" s="488" t="s">
        <v>749</v>
      </c>
      <c r="C88" s="153">
        <f>'справка №1-БАЛАНС'!G65</f>
        <v>236</v>
      </c>
      <c r="D88" s="153"/>
      <c r="E88" s="165">
        <f t="shared" si="1"/>
        <v>236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750</v>
      </c>
      <c r="B89" s="488" t="s">
        <v>751</v>
      </c>
      <c r="C89" s="153">
        <f>'справка №1-БАЛАНС'!G66</f>
        <v>231</v>
      </c>
      <c r="D89" s="153">
        <v>91</v>
      </c>
      <c r="E89" s="165">
        <f t="shared" si="1"/>
        <v>140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752</v>
      </c>
      <c r="B90" s="488" t="s">
        <v>753</v>
      </c>
      <c r="C90" s="148">
        <f>SUM(C91:C93)</f>
        <v>101</v>
      </c>
      <c r="D90" s="148">
        <f>SUM(D91:D93)</f>
        <v>35</v>
      </c>
      <c r="E90" s="148">
        <f>SUM(E91:E93)</f>
        <v>66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754</v>
      </c>
      <c r="B91" s="488" t="s">
        <v>755</v>
      </c>
      <c r="C91" s="153">
        <v>21</v>
      </c>
      <c r="D91" s="153">
        <v>21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662</v>
      </c>
      <c r="B92" s="488" t="s">
        <v>756</v>
      </c>
      <c r="C92" s="153">
        <f>'справка №1-БАЛАНС'!G68-C93-C91</f>
        <v>80</v>
      </c>
      <c r="D92" s="153">
        <v>14</v>
      </c>
      <c r="E92" s="165">
        <f t="shared" si="1"/>
        <v>66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666</v>
      </c>
      <c r="B93" s="488" t="s">
        <v>757</v>
      </c>
      <c r="C93" s="153">
        <v>0</v>
      </c>
      <c r="D93" s="153">
        <v>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758</v>
      </c>
      <c r="B94" s="488" t="s">
        <v>759</v>
      </c>
      <c r="C94" s="153">
        <f>'справка №1-БАЛАНС'!G67</f>
        <v>23</v>
      </c>
      <c r="D94" s="153">
        <v>23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760</v>
      </c>
      <c r="B95" s="488" t="s">
        <v>761</v>
      </c>
      <c r="C95" s="153">
        <f>'справка №1-БАЛАНС'!G69</f>
        <v>142</v>
      </c>
      <c r="D95" s="153"/>
      <c r="E95" s="165">
        <f t="shared" si="1"/>
        <v>142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762</v>
      </c>
      <c r="B96" s="498" t="s">
        <v>763</v>
      </c>
      <c r="C96" s="149">
        <f>C85+C80+C75+C71+C95</f>
        <v>2017</v>
      </c>
      <c r="D96" s="149">
        <f>D85+D80+D75+D71+D95</f>
        <v>638</v>
      </c>
      <c r="E96" s="149">
        <f>E85+E80+E75+E71+E95</f>
        <v>1379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764</v>
      </c>
      <c r="B97" s="486" t="s">
        <v>765</v>
      </c>
      <c r="C97" s="149">
        <f>C96+C68+C66</f>
        <v>2381</v>
      </c>
      <c r="D97" s="149">
        <f>D96+D68+D66</f>
        <v>638</v>
      </c>
      <c r="E97" s="149">
        <f>E96+E68+E66</f>
        <v>1743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766</v>
      </c>
      <c r="B99" s="501"/>
      <c r="C99" s="158"/>
      <c r="D99" s="158"/>
      <c r="E99" s="158"/>
      <c r="F99" s="502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771</v>
      </c>
      <c r="B102" s="488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773</v>
      </c>
      <c r="B103" s="488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775</v>
      </c>
      <c r="B104" s="488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777</v>
      </c>
      <c r="B105" s="486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779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6" t="s">
        <v>780</v>
      </c>
      <c r="B107" s="636"/>
      <c r="C107" s="636"/>
      <c r="D107" s="636"/>
      <c r="E107" s="636"/>
      <c r="F107" s="636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5" t="str">
        <f>'справка №1-БАЛАНС'!A98</f>
        <v>Дата на съставяне: 25.05.2008 г</v>
      </c>
      <c r="B109" s="635"/>
      <c r="C109" s="635" t="s">
        <v>381</v>
      </c>
      <c r="D109" s="635"/>
      <c r="E109" s="635"/>
      <c r="F109" s="63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/>
      <c r="D110" s="476"/>
      <c r="E110" s="476"/>
      <c r="F110" s="478"/>
    </row>
    <row r="111" spans="1:6" ht="12">
      <c r="A111" s="476"/>
      <c r="B111" s="477"/>
      <c r="C111" s="634" t="s">
        <v>781</v>
      </c>
      <c r="D111" s="634"/>
      <c r="E111" s="634"/>
      <c r="F111" s="634"/>
    </row>
    <row r="112" spans="1:6" ht="12">
      <c r="A112" s="433"/>
      <c r="B112" s="479"/>
      <c r="C112" s="433"/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102:E104 F76:F79 C81:D84 F81:F84 C76:D79 F86:F89 C86:D89 F91:F95 C91:D95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40" sqref="F40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782</v>
      </c>
      <c r="F2" s="516"/>
      <c r="G2" s="516"/>
      <c r="H2" s="514"/>
      <c r="I2" s="514"/>
    </row>
    <row r="3" spans="1:9" ht="12">
      <c r="A3" s="514"/>
      <c r="B3" s="515"/>
      <c r="C3" s="517" t="s">
        <v>783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7"/>
      <c r="C4" s="616" t="str">
        <f>'справка №1-БАЛАНС'!E3</f>
        <v>Булгар Чех Инвест Холдинг АД - Смолян</v>
      </c>
      <c r="D4" s="633"/>
      <c r="E4" s="633"/>
      <c r="F4" s="577"/>
      <c r="G4" s="579" t="s">
        <v>2</v>
      </c>
      <c r="H4" s="579"/>
      <c r="I4" s="588">
        <f>'справка №1-БАЛАНС'!H3</f>
        <v>0</v>
      </c>
    </row>
    <row r="5" spans="1:9" ht="15">
      <c r="A5" s="521" t="s">
        <v>5</v>
      </c>
      <c r="B5" s="578"/>
      <c r="C5" s="616" t="str">
        <f>'справка №1-БАЛАНС'!E5</f>
        <v> 2008 г. 31.03 - първо тримесечие</v>
      </c>
      <c r="D5" s="642"/>
      <c r="E5" s="642"/>
      <c r="F5" s="578"/>
      <c r="G5" s="353" t="s">
        <v>4</v>
      </c>
      <c r="H5" s="580"/>
      <c r="I5" s="587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784</v>
      </c>
    </row>
    <row r="7" spans="1:9" s="122" customFormat="1" ht="12">
      <c r="A7" s="193" t="s">
        <v>463</v>
      </c>
      <c r="B7" s="120"/>
      <c r="C7" s="193" t="s">
        <v>785</v>
      </c>
      <c r="D7" s="194"/>
      <c r="E7" s="195"/>
      <c r="F7" s="196" t="s">
        <v>786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787</v>
      </c>
      <c r="D8" s="124" t="s">
        <v>788</v>
      </c>
      <c r="E8" s="124" t="s">
        <v>789</v>
      </c>
      <c r="F8" s="195" t="s">
        <v>790</v>
      </c>
      <c r="G8" s="197" t="s">
        <v>791</v>
      </c>
      <c r="H8" s="197"/>
      <c r="I8" s="197" t="s">
        <v>792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535</v>
      </c>
      <c r="H9" s="121" t="s">
        <v>536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7">
        <f>'справка №1-БАЛАНС'!C37</f>
        <v>459</v>
      </c>
      <c r="D12" s="141"/>
      <c r="E12" s="141"/>
      <c r="F12" s="141">
        <f>C12</f>
        <v>459</v>
      </c>
      <c r="G12" s="141"/>
      <c r="H12" s="141"/>
      <c r="I12" s="540">
        <f>F12+G12-H12</f>
        <v>459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>
        <f>'справка №1-БАЛАНС'!C38</f>
        <v>46</v>
      </c>
      <c r="D16" s="141"/>
      <c r="E16" s="141"/>
      <c r="F16" s="141">
        <f>C16</f>
        <v>46</v>
      </c>
      <c r="G16" s="141"/>
      <c r="H16" s="141"/>
      <c r="I16" s="540">
        <f t="shared" si="0"/>
        <v>46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505</v>
      </c>
      <c r="D17" s="127">
        <f t="shared" si="1"/>
        <v>0</v>
      </c>
      <c r="E17" s="127">
        <f t="shared" si="1"/>
        <v>0</v>
      </c>
      <c r="F17" s="127">
        <f t="shared" si="1"/>
        <v>505</v>
      </c>
      <c r="G17" s="127">
        <f t="shared" si="1"/>
        <v>0</v>
      </c>
      <c r="H17" s="127">
        <f t="shared" si="1"/>
        <v>0</v>
      </c>
      <c r="I17" s="540">
        <f t="shared" si="0"/>
        <v>505</v>
      </c>
    </row>
    <row r="18" spans="1:9" s="115" customFormat="1" ht="12">
      <c r="A18" s="130" t="s">
        <v>803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>
        <f>'справка №1-БАЛАНС'!C44</f>
        <v>8</v>
      </c>
      <c r="G25" s="141"/>
      <c r="H25" s="141"/>
      <c r="I25" s="540">
        <f t="shared" si="0"/>
        <v>8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8</v>
      </c>
      <c r="G26" s="127">
        <f t="shared" si="2"/>
        <v>0</v>
      </c>
      <c r="H26" s="127">
        <f t="shared" si="2"/>
        <v>0</v>
      </c>
      <c r="I26" s="540">
        <f t="shared" si="0"/>
        <v>8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818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tr">
        <f>'справка №1-БАЛАНС'!A98</f>
        <v>Дата на съставяне: 25.05.2008 г</v>
      </c>
      <c r="B30" s="641"/>
      <c r="C30" s="641"/>
      <c r="D30" s="567" t="s">
        <v>819</v>
      </c>
      <c r="E30" s="640"/>
      <c r="F30" s="640"/>
      <c r="G30" s="640"/>
      <c r="H30" s="518" t="s">
        <v>781</v>
      </c>
      <c r="I30" s="640"/>
      <c r="J30" s="640"/>
    </row>
    <row r="31" spans="1:9" s="115" customFormat="1" ht="12">
      <c r="A31" s="436"/>
      <c r="B31" s="519"/>
      <c r="C31" s="436"/>
      <c r="D31" s="509"/>
      <c r="E31" s="509"/>
      <c r="F31" s="509"/>
      <c r="G31" s="509"/>
      <c r="H31" s="509"/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39" right="0.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5"/>
  <sheetViews>
    <sheetView workbookViewId="0" topLeftCell="A119">
      <selection activeCell="A58" sqref="A58"/>
    </sheetView>
  </sheetViews>
  <sheetFormatPr defaultColWidth="9.00390625" defaultRowHeight="12.75"/>
  <cols>
    <col min="1" max="1" width="31.25390625" style="51" customWidth="1"/>
    <col min="2" max="2" width="8.125" style="77" customWidth="1"/>
    <col min="3" max="3" width="10.25390625" style="51" customWidth="1"/>
    <col min="4" max="4" width="12.25390625" style="51" customWidth="1"/>
    <col min="5" max="5" width="12.125" style="51" customWidth="1"/>
    <col min="6" max="6" width="11.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820</v>
      </c>
      <c r="B2" s="198"/>
      <c r="C2" s="198"/>
      <c r="D2" s="198"/>
      <c r="E2" s="198"/>
      <c r="F2" s="198"/>
    </row>
    <row r="3" spans="1:6" ht="12.75" customHeight="1">
      <c r="A3" s="198" t="s">
        <v>821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6" t="str">
        <f>'справка №1-БАЛАНС'!E3</f>
        <v>Булгар Чех Инвест Холдинг АД - Смолян</v>
      </c>
      <c r="C5" s="632"/>
      <c r="D5" s="586"/>
      <c r="E5" s="352" t="s">
        <v>2</v>
      </c>
      <c r="F5" s="589">
        <f>'справка №1-БАЛАНС'!H3</f>
        <v>0</v>
      </c>
    </row>
    <row r="6" spans="1:13" ht="15" customHeight="1">
      <c r="A6" s="54" t="s">
        <v>822</v>
      </c>
      <c r="B6" s="616" t="str">
        <f>'справка №1-БАЛАНС'!E5</f>
        <v> 2008 г. 31.03 - първо тримесечие</v>
      </c>
      <c r="C6" s="642"/>
      <c r="D6" s="55"/>
      <c r="E6" s="353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9"/>
      <c r="C7" s="644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89.25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5"/>
      <c r="D10" s="535"/>
      <c r="E10" s="535"/>
      <c r="F10" s="535"/>
    </row>
    <row r="11" spans="1:6" ht="18" customHeight="1">
      <c r="A11" s="66" t="s">
        <v>829</v>
      </c>
      <c r="B11" s="67"/>
      <c r="C11" s="535"/>
      <c r="D11" s="535"/>
      <c r="E11" s="535"/>
      <c r="F11" s="535"/>
    </row>
    <row r="12" spans="1:6" ht="14.25" customHeight="1">
      <c r="A12" s="598"/>
      <c r="B12" s="67"/>
      <c r="C12" s="549"/>
      <c r="D12" s="599"/>
      <c r="E12" s="549"/>
      <c r="F12" s="551">
        <f>C12-E12</f>
        <v>0</v>
      </c>
    </row>
    <row r="13" spans="1:6" ht="12.75">
      <c r="A13" s="598"/>
      <c r="B13" s="67"/>
      <c r="C13" s="549"/>
      <c r="D13" s="599"/>
      <c r="E13" s="549"/>
      <c r="F13" s="551">
        <f aca="true" t="shared" si="0" ref="F13:F26">C13-E13</f>
        <v>0</v>
      </c>
    </row>
    <row r="14" spans="1:6" ht="12.75">
      <c r="A14" s="598"/>
      <c r="B14" s="67"/>
      <c r="C14" s="549"/>
      <c r="D14" s="599"/>
      <c r="E14" s="549"/>
      <c r="F14" s="551">
        <f t="shared" si="0"/>
        <v>0</v>
      </c>
    </row>
    <row r="15" spans="1:6" ht="12.75">
      <c r="A15" s="598"/>
      <c r="B15" s="67"/>
      <c r="C15" s="549"/>
      <c r="D15" s="599"/>
      <c r="E15" s="549"/>
      <c r="F15" s="551">
        <f t="shared" si="0"/>
        <v>0</v>
      </c>
    </row>
    <row r="16" spans="1:6" ht="12.75">
      <c r="A16" s="598"/>
      <c r="B16" s="67"/>
      <c r="C16" s="549"/>
      <c r="D16" s="599"/>
      <c r="E16" s="549"/>
      <c r="F16" s="551">
        <f t="shared" si="0"/>
        <v>0</v>
      </c>
    </row>
    <row r="17" spans="1:6" ht="12.75">
      <c r="A17" s="598"/>
      <c r="B17" s="67"/>
      <c r="C17" s="549"/>
      <c r="D17" s="599"/>
      <c r="E17" s="549"/>
      <c r="F17" s="551">
        <f t="shared" si="0"/>
        <v>0</v>
      </c>
    </row>
    <row r="18" spans="1:6" ht="12.75">
      <c r="A18" s="598"/>
      <c r="B18" s="67"/>
      <c r="C18" s="549"/>
      <c r="D18" s="599"/>
      <c r="E18" s="549"/>
      <c r="F18" s="551">
        <f t="shared" si="0"/>
        <v>0</v>
      </c>
    </row>
    <row r="19" spans="1:6" ht="12.75">
      <c r="A19" s="598"/>
      <c r="B19" s="67"/>
      <c r="C19" s="549"/>
      <c r="D19" s="59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564</v>
      </c>
      <c r="B27" s="69" t="s">
        <v>832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833</v>
      </c>
      <c r="B28" s="70"/>
      <c r="C28" s="535"/>
      <c r="D28" s="535"/>
      <c r="E28" s="535"/>
      <c r="F28" s="550"/>
    </row>
    <row r="29" spans="1:6" ht="12.75">
      <c r="A29" s="66" t="s">
        <v>543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546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549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552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581</v>
      </c>
      <c r="B44" s="69" t="s">
        <v>834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835</v>
      </c>
      <c r="B45" s="70"/>
      <c r="C45" s="535"/>
      <c r="D45" s="535"/>
      <c r="E45" s="535"/>
      <c r="F45" s="550"/>
    </row>
    <row r="46" spans="1:6" ht="12.75">
      <c r="A46" s="598" t="s">
        <v>863</v>
      </c>
      <c r="B46" s="70"/>
      <c r="C46" s="549">
        <v>38</v>
      </c>
      <c r="D46" s="599">
        <v>25.5</v>
      </c>
      <c r="E46" s="549"/>
      <c r="F46" s="551">
        <f>C46-E46</f>
        <v>38</v>
      </c>
    </row>
    <row r="47" spans="1:6" ht="12.75">
      <c r="A47" s="598" t="s">
        <v>864</v>
      </c>
      <c r="B47" s="70"/>
      <c r="C47" s="549">
        <v>10</v>
      </c>
      <c r="D47" s="599">
        <v>30.33</v>
      </c>
      <c r="E47" s="549"/>
      <c r="F47" s="551">
        <f aca="true" t="shared" si="2" ref="F47:F53">C47-E47</f>
        <v>10</v>
      </c>
    </row>
    <row r="48" spans="1:6" ht="12.75">
      <c r="A48" s="598" t="s">
        <v>865</v>
      </c>
      <c r="B48" s="70"/>
      <c r="C48" s="549">
        <v>25</v>
      </c>
      <c r="D48" s="599">
        <v>31.12</v>
      </c>
      <c r="E48" s="549"/>
      <c r="F48" s="551">
        <f t="shared" si="2"/>
        <v>25</v>
      </c>
    </row>
    <row r="49" spans="1:6" ht="12.75">
      <c r="A49" s="66" t="s">
        <v>867</v>
      </c>
      <c r="B49" s="67"/>
      <c r="C49" s="549">
        <f>123-17</f>
        <v>106</v>
      </c>
      <c r="D49" s="599">
        <f>31-4.5</f>
        <v>26.5</v>
      </c>
      <c r="E49" s="549"/>
      <c r="F49" s="551">
        <f t="shared" si="2"/>
        <v>106</v>
      </c>
    </row>
    <row r="50" spans="1:6" ht="12.75">
      <c r="A50" s="66" t="s">
        <v>868</v>
      </c>
      <c r="B50" s="67"/>
      <c r="C50" s="549">
        <f>125-97</f>
        <v>28</v>
      </c>
      <c r="D50" s="599">
        <v>2.82</v>
      </c>
      <c r="E50" s="549"/>
      <c r="F50" s="551">
        <f t="shared" si="2"/>
        <v>28</v>
      </c>
    </row>
    <row r="51" spans="1:6" ht="12.75">
      <c r="A51" s="66" t="s">
        <v>869</v>
      </c>
      <c r="B51" s="67"/>
      <c r="C51" s="549">
        <f>77+13</f>
        <v>90</v>
      </c>
      <c r="D51" s="599">
        <v>0.3</v>
      </c>
      <c r="E51" s="549"/>
      <c r="F51" s="551">
        <f t="shared" si="2"/>
        <v>90</v>
      </c>
    </row>
    <row r="52" spans="1:6" ht="12.75">
      <c r="A52" s="66" t="s">
        <v>870</v>
      </c>
      <c r="B52" s="67"/>
      <c r="C52" s="549">
        <v>162</v>
      </c>
      <c r="D52" s="549">
        <v>27</v>
      </c>
      <c r="E52" s="549"/>
      <c r="F52" s="551">
        <f t="shared" si="2"/>
        <v>162</v>
      </c>
    </row>
    <row r="53" spans="1:6" ht="12.75">
      <c r="A53" s="66"/>
      <c r="B53" s="67"/>
      <c r="C53" s="549"/>
      <c r="D53" s="549"/>
      <c r="E53" s="549"/>
      <c r="F53" s="551">
        <f t="shared" si="2"/>
        <v>0</v>
      </c>
    </row>
    <row r="54" spans="1:16" ht="12" customHeight="1">
      <c r="A54" s="68" t="s">
        <v>600</v>
      </c>
      <c r="B54" s="69" t="s">
        <v>836</v>
      </c>
      <c r="C54" s="535">
        <f>SUM(C46:C53)</f>
        <v>459</v>
      </c>
      <c r="D54" s="535"/>
      <c r="E54" s="535">
        <f>SUM(E46:E53)</f>
        <v>0</v>
      </c>
      <c r="F54" s="550">
        <f>SUM(F46:F53)</f>
        <v>459</v>
      </c>
      <c r="G54" s="525"/>
      <c r="H54" s="525"/>
      <c r="I54" s="525"/>
      <c r="J54" s="525"/>
      <c r="K54" s="525"/>
      <c r="L54" s="525"/>
      <c r="M54" s="525"/>
      <c r="N54" s="525"/>
      <c r="O54" s="525"/>
      <c r="P54" s="525"/>
    </row>
    <row r="55" spans="1:6" ht="18.75" customHeight="1">
      <c r="A55" s="66" t="s">
        <v>837</v>
      </c>
      <c r="B55" s="70"/>
      <c r="C55" s="535"/>
      <c r="D55" s="535"/>
      <c r="E55" s="535"/>
      <c r="F55" s="550"/>
    </row>
    <row r="56" spans="1:6" ht="25.5">
      <c r="A56" s="66" t="s">
        <v>866</v>
      </c>
      <c r="B56" s="70"/>
      <c r="C56" s="549">
        <v>43</v>
      </c>
      <c r="D56" s="549"/>
      <c r="E56" s="549"/>
      <c r="F56" s="551">
        <f>C56-E56</f>
        <v>43</v>
      </c>
    </row>
    <row r="57" spans="1:6" ht="12.75">
      <c r="A57" s="598" t="s">
        <v>871</v>
      </c>
      <c r="B57" s="70"/>
      <c r="C57" s="549">
        <v>3</v>
      </c>
      <c r="D57" s="549"/>
      <c r="E57" s="549"/>
      <c r="F57" s="551">
        <f aca="true" t="shared" si="3" ref="F57:F68">C57-E57</f>
        <v>3</v>
      </c>
    </row>
    <row r="58" spans="1:6" ht="25.5">
      <c r="A58" s="66" t="s">
        <v>872</v>
      </c>
      <c r="B58" s="67"/>
      <c r="C58" s="549">
        <v>8</v>
      </c>
      <c r="D58" s="549"/>
      <c r="E58" s="549"/>
      <c r="F58" s="551">
        <f t="shared" si="3"/>
        <v>8</v>
      </c>
    </row>
    <row r="59" spans="1:6" ht="12.75">
      <c r="A59" s="66">
        <v>6</v>
      </c>
      <c r="B59" s="67"/>
      <c r="C59" s="549"/>
      <c r="D59" s="549"/>
      <c r="E59" s="549"/>
      <c r="F59" s="551">
        <f t="shared" si="3"/>
        <v>0</v>
      </c>
    </row>
    <row r="60" spans="1:6" ht="12.75">
      <c r="A60" s="66">
        <v>7</v>
      </c>
      <c r="B60" s="67"/>
      <c r="C60" s="549"/>
      <c r="D60" s="549"/>
      <c r="E60" s="549"/>
      <c r="F60" s="551">
        <f t="shared" si="3"/>
        <v>0</v>
      </c>
    </row>
    <row r="61" spans="1:6" ht="12.75">
      <c r="A61" s="66">
        <v>8</v>
      </c>
      <c r="B61" s="67"/>
      <c r="C61" s="549"/>
      <c r="D61" s="549"/>
      <c r="E61" s="549"/>
      <c r="F61" s="551">
        <f t="shared" si="3"/>
        <v>0</v>
      </c>
    </row>
    <row r="62" spans="1:6" ht="12.75">
      <c r="A62" s="66">
        <v>9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10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11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12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13</v>
      </c>
      <c r="B66" s="67"/>
      <c r="C66" s="549"/>
      <c r="D66" s="549"/>
      <c r="E66" s="549"/>
      <c r="F66" s="551">
        <f t="shared" si="3"/>
        <v>0</v>
      </c>
    </row>
    <row r="67" spans="1:6" ht="12" customHeight="1">
      <c r="A67" s="66">
        <v>14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15</v>
      </c>
      <c r="B68" s="67"/>
      <c r="C68" s="549"/>
      <c r="D68" s="549"/>
      <c r="E68" s="549"/>
      <c r="F68" s="551">
        <f t="shared" si="3"/>
        <v>0</v>
      </c>
    </row>
    <row r="69" spans="1:16" ht="14.25" customHeight="1">
      <c r="A69" s="68" t="s">
        <v>838</v>
      </c>
      <c r="B69" s="69" t="s">
        <v>839</v>
      </c>
      <c r="C69" s="535">
        <f>SUM(C56:C68)</f>
        <v>54</v>
      </c>
      <c r="D69" s="535"/>
      <c r="E69" s="535">
        <f>SUM(E56:E68)</f>
        <v>0</v>
      </c>
      <c r="F69" s="550">
        <f>SUM(F56:F68)</f>
        <v>54</v>
      </c>
      <c r="G69" s="525"/>
      <c r="H69" s="525"/>
      <c r="I69" s="525"/>
      <c r="J69" s="525"/>
      <c r="K69" s="525"/>
      <c r="L69" s="525"/>
      <c r="M69" s="525"/>
      <c r="N69" s="525"/>
      <c r="O69" s="525"/>
      <c r="P69" s="525"/>
    </row>
    <row r="70" spans="1:16" ht="20.25" customHeight="1">
      <c r="A70" s="71" t="s">
        <v>840</v>
      </c>
      <c r="B70" s="69" t="s">
        <v>841</v>
      </c>
      <c r="C70" s="535">
        <f>C69+C54+C44+C27</f>
        <v>513</v>
      </c>
      <c r="D70" s="535"/>
      <c r="E70" s="535">
        <f>E69+E54+E44+E27</f>
        <v>0</v>
      </c>
      <c r="F70" s="550">
        <f>F69+F54+F44+F27</f>
        <v>513</v>
      </c>
      <c r="G70" s="525"/>
      <c r="H70" s="525"/>
      <c r="I70" s="525"/>
      <c r="J70" s="525"/>
      <c r="K70" s="525"/>
      <c r="L70" s="525"/>
      <c r="M70" s="525"/>
      <c r="N70" s="525"/>
      <c r="O70" s="525"/>
      <c r="P70" s="525"/>
    </row>
    <row r="71" spans="1:6" ht="15" customHeight="1">
      <c r="A71" s="64" t="s">
        <v>842</v>
      </c>
      <c r="B71" s="69"/>
      <c r="C71" s="535"/>
      <c r="D71" s="535"/>
      <c r="E71" s="535"/>
      <c r="F71" s="550"/>
    </row>
    <row r="72" spans="1:6" ht="14.25" customHeight="1">
      <c r="A72" s="66" t="s">
        <v>829</v>
      </c>
      <c r="B72" s="70"/>
      <c r="C72" s="535"/>
      <c r="D72" s="535"/>
      <c r="E72" s="535"/>
      <c r="F72" s="550"/>
    </row>
    <row r="73" spans="1:6" ht="12.75">
      <c r="A73" s="66" t="s">
        <v>830</v>
      </c>
      <c r="B73" s="70"/>
      <c r="C73" s="549"/>
      <c r="D73" s="549"/>
      <c r="E73" s="549"/>
      <c r="F73" s="551">
        <f>C73-E73</f>
        <v>0</v>
      </c>
    </row>
    <row r="74" spans="1:6" ht="12.75">
      <c r="A74" s="66" t="s">
        <v>831</v>
      </c>
      <c r="B74" s="70"/>
      <c r="C74" s="549"/>
      <c r="D74" s="549"/>
      <c r="E74" s="549"/>
      <c r="F74" s="551">
        <f aca="true" t="shared" si="4" ref="F74:F87">C74-E74</f>
        <v>0</v>
      </c>
    </row>
    <row r="75" spans="1:6" ht="12.75">
      <c r="A75" s="66" t="s">
        <v>549</v>
      </c>
      <c r="B75" s="70"/>
      <c r="C75" s="549"/>
      <c r="D75" s="549"/>
      <c r="E75" s="549"/>
      <c r="F75" s="551">
        <f t="shared" si="4"/>
        <v>0</v>
      </c>
    </row>
    <row r="76" spans="1:6" ht="12.75">
      <c r="A76" s="66" t="s">
        <v>552</v>
      </c>
      <c r="B76" s="70"/>
      <c r="C76" s="549"/>
      <c r="D76" s="549"/>
      <c r="E76" s="549"/>
      <c r="F76" s="551">
        <f t="shared" si="4"/>
        <v>0</v>
      </c>
    </row>
    <row r="77" spans="1:6" ht="12.75">
      <c r="A77" s="66">
        <v>5</v>
      </c>
      <c r="B77" s="67"/>
      <c r="C77" s="549"/>
      <c r="D77" s="549"/>
      <c r="E77" s="549"/>
      <c r="F77" s="551">
        <f t="shared" si="4"/>
        <v>0</v>
      </c>
    </row>
    <row r="78" spans="1:6" ht="12.75">
      <c r="A78" s="66">
        <v>6</v>
      </c>
      <c r="B78" s="67"/>
      <c r="C78" s="549"/>
      <c r="D78" s="549"/>
      <c r="E78" s="549"/>
      <c r="F78" s="551">
        <f t="shared" si="4"/>
        <v>0</v>
      </c>
    </row>
    <row r="79" spans="1:6" ht="12.75">
      <c r="A79" s="66">
        <v>7</v>
      </c>
      <c r="B79" s="67"/>
      <c r="C79" s="549"/>
      <c r="D79" s="549"/>
      <c r="E79" s="549"/>
      <c r="F79" s="551">
        <f t="shared" si="4"/>
        <v>0</v>
      </c>
    </row>
    <row r="80" spans="1:6" ht="12.75">
      <c r="A80" s="66">
        <v>8</v>
      </c>
      <c r="B80" s="67"/>
      <c r="C80" s="549"/>
      <c r="D80" s="549"/>
      <c r="E80" s="549"/>
      <c r="F80" s="551">
        <f t="shared" si="4"/>
        <v>0</v>
      </c>
    </row>
    <row r="81" spans="1:6" ht="12" customHeight="1">
      <c r="A81" s="66">
        <v>9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10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11</v>
      </c>
      <c r="B83" s="67"/>
      <c r="C83" s="549"/>
      <c r="D83" s="549"/>
      <c r="E83" s="549"/>
      <c r="F83" s="551">
        <f t="shared" si="4"/>
        <v>0</v>
      </c>
    </row>
    <row r="84" spans="1:6" ht="12.75">
      <c r="A84" s="66">
        <v>12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13</v>
      </c>
      <c r="B85" s="67"/>
      <c r="C85" s="549"/>
      <c r="D85" s="549"/>
      <c r="E85" s="549"/>
      <c r="F85" s="551">
        <f t="shared" si="4"/>
        <v>0</v>
      </c>
    </row>
    <row r="86" spans="1:6" ht="12" customHeight="1">
      <c r="A86" s="66">
        <v>14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15</v>
      </c>
      <c r="B87" s="67"/>
      <c r="C87" s="549"/>
      <c r="D87" s="549"/>
      <c r="E87" s="549"/>
      <c r="F87" s="551">
        <f t="shared" si="4"/>
        <v>0</v>
      </c>
    </row>
    <row r="88" spans="1:16" ht="15" customHeight="1">
      <c r="A88" s="68" t="s">
        <v>564</v>
      </c>
      <c r="B88" s="69" t="s">
        <v>843</v>
      </c>
      <c r="C88" s="535">
        <f>SUM(C73:C87)</f>
        <v>0</v>
      </c>
      <c r="D88" s="535"/>
      <c r="E88" s="535">
        <f>SUM(E73:E87)</f>
        <v>0</v>
      </c>
      <c r="F88" s="550">
        <f>SUM(F73:F87)</f>
        <v>0</v>
      </c>
      <c r="G88" s="525"/>
      <c r="H88" s="525"/>
      <c r="I88" s="525"/>
      <c r="J88" s="525"/>
      <c r="K88" s="525"/>
      <c r="L88" s="525"/>
      <c r="M88" s="525"/>
      <c r="N88" s="525"/>
      <c r="O88" s="525"/>
      <c r="P88" s="525"/>
    </row>
    <row r="89" spans="1:6" ht="15.75" customHeight="1">
      <c r="A89" s="66" t="s">
        <v>833</v>
      </c>
      <c r="B89" s="70"/>
      <c r="C89" s="535"/>
      <c r="D89" s="535"/>
      <c r="E89" s="535"/>
      <c r="F89" s="550"/>
    </row>
    <row r="90" spans="1:6" ht="12.75">
      <c r="A90" s="66" t="s">
        <v>543</v>
      </c>
      <c r="B90" s="70"/>
      <c r="C90" s="549"/>
      <c r="D90" s="549"/>
      <c r="E90" s="549"/>
      <c r="F90" s="551">
        <f>C90-E90</f>
        <v>0</v>
      </c>
    </row>
    <row r="91" spans="1:6" ht="12.75">
      <c r="A91" s="66" t="s">
        <v>546</v>
      </c>
      <c r="B91" s="70"/>
      <c r="C91" s="549"/>
      <c r="D91" s="549"/>
      <c r="E91" s="549"/>
      <c r="F91" s="551">
        <f aca="true" t="shared" si="5" ref="F91:F104">C91-E91</f>
        <v>0</v>
      </c>
    </row>
    <row r="92" spans="1:6" ht="12.75">
      <c r="A92" s="66" t="s">
        <v>549</v>
      </c>
      <c r="B92" s="70"/>
      <c r="C92" s="549"/>
      <c r="D92" s="549"/>
      <c r="E92" s="549"/>
      <c r="F92" s="551">
        <f t="shared" si="5"/>
        <v>0</v>
      </c>
    </row>
    <row r="93" spans="1:6" ht="12.75">
      <c r="A93" s="66" t="s">
        <v>552</v>
      </c>
      <c r="B93" s="70"/>
      <c r="C93" s="549"/>
      <c r="D93" s="549"/>
      <c r="E93" s="549"/>
      <c r="F93" s="551">
        <f t="shared" si="5"/>
        <v>0</v>
      </c>
    </row>
    <row r="94" spans="1:6" ht="12.75">
      <c r="A94" s="66">
        <v>5</v>
      </c>
      <c r="B94" s="67"/>
      <c r="C94" s="549"/>
      <c r="D94" s="549"/>
      <c r="E94" s="549"/>
      <c r="F94" s="551">
        <f t="shared" si="5"/>
        <v>0</v>
      </c>
    </row>
    <row r="95" spans="1:6" ht="12.75">
      <c r="A95" s="66">
        <v>6</v>
      </c>
      <c r="B95" s="67"/>
      <c r="C95" s="549"/>
      <c r="D95" s="549"/>
      <c r="E95" s="549"/>
      <c r="F95" s="551">
        <f t="shared" si="5"/>
        <v>0</v>
      </c>
    </row>
    <row r="96" spans="1:6" ht="12.75">
      <c r="A96" s="66">
        <v>7</v>
      </c>
      <c r="B96" s="67"/>
      <c r="C96" s="549"/>
      <c r="D96" s="549"/>
      <c r="E96" s="549"/>
      <c r="F96" s="551">
        <f t="shared" si="5"/>
        <v>0</v>
      </c>
    </row>
    <row r="97" spans="1:6" ht="12.75">
      <c r="A97" s="66">
        <v>8</v>
      </c>
      <c r="B97" s="67"/>
      <c r="C97" s="549"/>
      <c r="D97" s="549"/>
      <c r="E97" s="549"/>
      <c r="F97" s="551">
        <f t="shared" si="5"/>
        <v>0</v>
      </c>
    </row>
    <row r="98" spans="1:6" ht="12" customHeight="1">
      <c r="A98" s="66">
        <v>9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10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11</v>
      </c>
      <c r="B100" s="67"/>
      <c r="C100" s="549"/>
      <c r="D100" s="549"/>
      <c r="E100" s="549"/>
      <c r="F100" s="551">
        <f t="shared" si="5"/>
        <v>0</v>
      </c>
    </row>
    <row r="101" spans="1:6" ht="12.75">
      <c r="A101" s="66">
        <v>12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13</v>
      </c>
      <c r="B102" s="67"/>
      <c r="C102" s="549"/>
      <c r="D102" s="549"/>
      <c r="E102" s="549"/>
      <c r="F102" s="551">
        <f t="shared" si="5"/>
        <v>0</v>
      </c>
    </row>
    <row r="103" spans="1:6" ht="12" customHeight="1">
      <c r="A103" s="66">
        <v>14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15</v>
      </c>
      <c r="B104" s="67"/>
      <c r="C104" s="549"/>
      <c r="D104" s="549"/>
      <c r="E104" s="549"/>
      <c r="F104" s="551">
        <f t="shared" si="5"/>
        <v>0</v>
      </c>
    </row>
    <row r="105" spans="1:16" ht="11.25" customHeight="1">
      <c r="A105" s="68" t="s">
        <v>581</v>
      </c>
      <c r="B105" s="69" t="s">
        <v>844</v>
      </c>
      <c r="C105" s="535">
        <f>SUM(C90:C104)</f>
        <v>0</v>
      </c>
      <c r="D105" s="535"/>
      <c r="E105" s="535">
        <f>SUM(E90:E104)</f>
        <v>0</v>
      </c>
      <c r="F105" s="550">
        <f>SUM(F90:F104)</f>
        <v>0</v>
      </c>
      <c r="G105" s="525"/>
      <c r="H105" s="525"/>
      <c r="I105" s="525"/>
      <c r="J105" s="525"/>
      <c r="K105" s="525"/>
      <c r="L105" s="525"/>
      <c r="M105" s="525"/>
      <c r="N105" s="525"/>
      <c r="O105" s="525"/>
      <c r="P105" s="525"/>
    </row>
    <row r="106" spans="1:6" ht="15" customHeight="1">
      <c r="A106" s="66" t="s">
        <v>835</v>
      </c>
      <c r="B106" s="70"/>
      <c r="C106" s="535"/>
      <c r="D106" s="535"/>
      <c r="E106" s="535"/>
      <c r="F106" s="550"/>
    </row>
    <row r="107" spans="1:6" ht="12.75">
      <c r="A107" s="66" t="s">
        <v>543</v>
      </c>
      <c r="B107" s="70"/>
      <c r="C107" s="549"/>
      <c r="D107" s="549"/>
      <c r="E107" s="549"/>
      <c r="F107" s="551">
        <f>C107-E107</f>
        <v>0</v>
      </c>
    </row>
    <row r="108" spans="1:6" ht="12.75">
      <c r="A108" s="66" t="s">
        <v>546</v>
      </c>
      <c r="B108" s="70"/>
      <c r="C108" s="549"/>
      <c r="D108" s="549"/>
      <c r="E108" s="549"/>
      <c r="F108" s="551">
        <f aca="true" t="shared" si="6" ref="F108:F121">C108-E108</f>
        <v>0</v>
      </c>
    </row>
    <row r="109" spans="1:6" ht="12.75">
      <c r="A109" s="66" t="s">
        <v>549</v>
      </c>
      <c r="B109" s="70"/>
      <c r="C109" s="549"/>
      <c r="D109" s="549"/>
      <c r="E109" s="549"/>
      <c r="F109" s="551">
        <f t="shared" si="6"/>
        <v>0</v>
      </c>
    </row>
    <row r="110" spans="1:6" ht="12.75">
      <c r="A110" s="66" t="s">
        <v>552</v>
      </c>
      <c r="B110" s="70"/>
      <c r="C110" s="549"/>
      <c r="D110" s="549"/>
      <c r="E110" s="549"/>
      <c r="F110" s="551">
        <f t="shared" si="6"/>
        <v>0</v>
      </c>
    </row>
    <row r="111" spans="1:6" ht="12.75">
      <c r="A111" s="66">
        <v>5</v>
      </c>
      <c r="B111" s="67"/>
      <c r="C111" s="549"/>
      <c r="D111" s="549"/>
      <c r="E111" s="549"/>
      <c r="F111" s="551">
        <f t="shared" si="6"/>
        <v>0</v>
      </c>
    </row>
    <row r="112" spans="1:6" ht="12.75">
      <c r="A112" s="66">
        <v>6</v>
      </c>
      <c r="B112" s="67"/>
      <c r="C112" s="549"/>
      <c r="D112" s="549"/>
      <c r="E112" s="549"/>
      <c r="F112" s="551">
        <f t="shared" si="6"/>
        <v>0</v>
      </c>
    </row>
    <row r="113" spans="1:6" ht="12.75">
      <c r="A113" s="66">
        <v>7</v>
      </c>
      <c r="B113" s="67"/>
      <c r="C113" s="549"/>
      <c r="D113" s="549"/>
      <c r="E113" s="549"/>
      <c r="F113" s="551">
        <f t="shared" si="6"/>
        <v>0</v>
      </c>
    </row>
    <row r="114" spans="1:6" ht="12.75">
      <c r="A114" s="66">
        <v>8</v>
      </c>
      <c r="B114" s="67"/>
      <c r="C114" s="549"/>
      <c r="D114" s="549"/>
      <c r="E114" s="549"/>
      <c r="F114" s="551">
        <f t="shared" si="6"/>
        <v>0</v>
      </c>
    </row>
    <row r="115" spans="1:6" ht="12" customHeight="1">
      <c r="A115" s="66">
        <v>9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10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11</v>
      </c>
      <c r="B117" s="67"/>
      <c r="C117" s="549"/>
      <c r="D117" s="549"/>
      <c r="E117" s="549"/>
      <c r="F117" s="551">
        <f t="shared" si="6"/>
        <v>0</v>
      </c>
    </row>
    <row r="118" spans="1:6" ht="12.75">
      <c r="A118" s="66">
        <v>12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13</v>
      </c>
      <c r="B119" s="67"/>
      <c r="C119" s="549"/>
      <c r="D119" s="549"/>
      <c r="E119" s="549"/>
      <c r="F119" s="551">
        <f t="shared" si="6"/>
        <v>0</v>
      </c>
    </row>
    <row r="120" spans="1:6" ht="12" customHeight="1">
      <c r="A120" s="66">
        <v>14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15</v>
      </c>
      <c r="B121" s="67"/>
      <c r="C121" s="549"/>
      <c r="D121" s="549"/>
      <c r="E121" s="549"/>
      <c r="F121" s="551">
        <f t="shared" si="6"/>
        <v>0</v>
      </c>
    </row>
    <row r="122" spans="1:16" ht="15.75" customHeight="1">
      <c r="A122" s="68" t="s">
        <v>600</v>
      </c>
      <c r="B122" s="69" t="s">
        <v>845</v>
      </c>
      <c r="C122" s="535">
        <f>SUM(C107:C121)</f>
        <v>0</v>
      </c>
      <c r="D122" s="535"/>
      <c r="E122" s="535">
        <f>SUM(E107:E121)</f>
        <v>0</v>
      </c>
      <c r="F122" s="550">
        <f>SUM(F107:F121)</f>
        <v>0</v>
      </c>
      <c r="G122" s="525"/>
      <c r="H122" s="525"/>
      <c r="I122" s="525"/>
      <c r="J122" s="525"/>
      <c r="K122" s="525"/>
      <c r="L122" s="525"/>
      <c r="M122" s="525"/>
      <c r="N122" s="525"/>
      <c r="O122" s="525"/>
      <c r="P122" s="525"/>
    </row>
    <row r="123" spans="1:6" ht="12.75" customHeight="1">
      <c r="A123" s="66" t="s">
        <v>837</v>
      </c>
      <c r="B123" s="70"/>
      <c r="C123" s="535"/>
      <c r="D123" s="535"/>
      <c r="E123" s="535"/>
      <c r="F123" s="550"/>
    </row>
    <row r="124" spans="1:6" ht="12.75">
      <c r="A124" s="66" t="s">
        <v>543</v>
      </c>
      <c r="B124" s="70"/>
      <c r="C124" s="549"/>
      <c r="D124" s="549"/>
      <c r="E124" s="549"/>
      <c r="F124" s="551">
        <f>C124-E124</f>
        <v>0</v>
      </c>
    </row>
    <row r="125" spans="1:6" ht="12.75">
      <c r="A125" s="66" t="s">
        <v>546</v>
      </c>
      <c r="B125" s="70"/>
      <c r="C125" s="549"/>
      <c r="D125" s="549"/>
      <c r="E125" s="549"/>
      <c r="F125" s="551">
        <f aca="true" t="shared" si="7" ref="F125:F138">C125-E125</f>
        <v>0</v>
      </c>
    </row>
    <row r="126" spans="1:6" ht="12.75">
      <c r="A126" s="66" t="s">
        <v>549</v>
      </c>
      <c r="B126" s="70"/>
      <c r="C126" s="549"/>
      <c r="D126" s="549"/>
      <c r="E126" s="549"/>
      <c r="F126" s="551">
        <f t="shared" si="7"/>
        <v>0</v>
      </c>
    </row>
    <row r="127" spans="1:6" ht="12.75">
      <c r="A127" s="66" t="s">
        <v>552</v>
      </c>
      <c r="B127" s="70"/>
      <c r="C127" s="549"/>
      <c r="D127" s="549"/>
      <c r="E127" s="549"/>
      <c r="F127" s="551">
        <f t="shared" si="7"/>
        <v>0</v>
      </c>
    </row>
    <row r="128" spans="1:6" ht="12.75">
      <c r="A128" s="66">
        <v>5</v>
      </c>
      <c r="B128" s="67"/>
      <c r="C128" s="549"/>
      <c r="D128" s="549"/>
      <c r="E128" s="549"/>
      <c r="F128" s="551">
        <f t="shared" si="7"/>
        <v>0</v>
      </c>
    </row>
    <row r="129" spans="1:6" ht="12.75">
      <c r="A129" s="66">
        <v>6</v>
      </c>
      <c r="B129" s="67"/>
      <c r="C129" s="549"/>
      <c r="D129" s="549"/>
      <c r="E129" s="549"/>
      <c r="F129" s="551">
        <f t="shared" si="7"/>
        <v>0</v>
      </c>
    </row>
    <row r="130" spans="1:6" ht="12.75">
      <c r="A130" s="66">
        <v>7</v>
      </c>
      <c r="B130" s="67"/>
      <c r="C130" s="549"/>
      <c r="D130" s="549"/>
      <c r="E130" s="549"/>
      <c r="F130" s="551">
        <f t="shared" si="7"/>
        <v>0</v>
      </c>
    </row>
    <row r="131" spans="1:6" ht="12.75">
      <c r="A131" s="66">
        <v>8</v>
      </c>
      <c r="B131" s="67"/>
      <c r="C131" s="549"/>
      <c r="D131" s="549"/>
      <c r="E131" s="549"/>
      <c r="F131" s="551">
        <f t="shared" si="7"/>
        <v>0</v>
      </c>
    </row>
    <row r="132" spans="1:6" ht="12" customHeight="1">
      <c r="A132" s="66">
        <v>9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10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11</v>
      </c>
      <c r="B134" s="67"/>
      <c r="C134" s="549"/>
      <c r="D134" s="549"/>
      <c r="E134" s="549"/>
      <c r="F134" s="551">
        <f t="shared" si="7"/>
        <v>0</v>
      </c>
    </row>
    <row r="135" spans="1:6" ht="12.75">
      <c r="A135" s="66">
        <v>12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13</v>
      </c>
      <c r="B136" s="67"/>
      <c r="C136" s="549"/>
      <c r="D136" s="549"/>
      <c r="E136" s="549"/>
      <c r="F136" s="551">
        <f t="shared" si="7"/>
        <v>0</v>
      </c>
    </row>
    <row r="137" spans="1:6" ht="12" customHeight="1">
      <c r="A137" s="66">
        <v>14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15</v>
      </c>
      <c r="B138" s="67"/>
      <c r="C138" s="549"/>
      <c r="D138" s="549"/>
      <c r="E138" s="549"/>
      <c r="F138" s="551">
        <f t="shared" si="7"/>
        <v>0</v>
      </c>
    </row>
    <row r="139" spans="1:16" ht="17.25" customHeight="1">
      <c r="A139" s="68" t="s">
        <v>838</v>
      </c>
      <c r="B139" s="69" t="s">
        <v>846</v>
      </c>
      <c r="C139" s="535">
        <f>SUM(C124:C138)</f>
        <v>0</v>
      </c>
      <c r="D139" s="535"/>
      <c r="E139" s="535">
        <f>SUM(E124:E138)</f>
        <v>0</v>
      </c>
      <c r="F139" s="550">
        <f>SUM(F124:F138)</f>
        <v>0</v>
      </c>
      <c r="G139" s="525"/>
      <c r="H139" s="525"/>
      <c r="I139" s="525"/>
      <c r="J139" s="525"/>
      <c r="K139" s="525"/>
      <c r="L139" s="525"/>
      <c r="M139" s="525"/>
      <c r="N139" s="525"/>
      <c r="O139" s="525"/>
      <c r="P139" s="525"/>
    </row>
    <row r="140" spans="1:16" ht="19.5" customHeight="1">
      <c r="A140" s="71" t="s">
        <v>847</v>
      </c>
      <c r="B140" s="69" t="s">
        <v>848</v>
      </c>
      <c r="C140" s="535">
        <f>C139+C122+C105+C88</f>
        <v>0</v>
      </c>
      <c r="D140" s="535"/>
      <c r="E140" s="535">
        <f>E139+E122+E105+E88</f>
        <v>0</v>
      </c>
      <c r="F140" s="550">
        <f>F139+F122+F105+F88</f>
        <v>0</v>
      </c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</row>
    <row r="141" spans="1:6" ht="19.5" customHeight="1">
      <c r="A141" s="72"/>
      <c r="B141" s="73"/>
      <c r="C141" s="74"/>
      <c r="D141" s="74"/>
      <c r="E141" s="74"/>
      <c r="F141" s="74"/>
    </row>
    <row r="142" spans="1:6" ht="12.75">
      <c r="A142" s="559" t="str">
        <f>'справка №1-БАЛАНС'!A98</f>
        <v>Дата на съставяне: 25.05.2008 г</v>
      </c>
      <c r="B142" s="560"/>
      <c r="C142" s="643" t="s">
        <v>849</v>
      </c>
      <c r="D142" s="643"/>
      <c r="E142" s="643"/>
      <c r="F142" s="643"/>
    </row>
    <row r="143" spans="1:6" ht="12.75">
      <c r="A143" s="75"/>
      <c r="B143" s="76"/>
      <c r="C143" s="75"/>
      <c r="D143" s="75"/>
      <c r="E143" s="75"/>
      <c r="F143" s="75"/>
    </row>
    <row r="144" spans="1:6" ht="12.75">
      <c r="A144" s="75"/>
      <c r="B144" s="76"/>
      <c r="C144" s="643" t="s">
        <v>856</v>
      </c>
      <c r="D144" s="643"/>
      <c r="E144" s="643"/>
      <c r="F144" s="643"/>
    </row>
    <row r="145" spans="3:5" ht="12.75">
      <c r="C145" s="75"/>
      <c r="E145" s="75"/>
    </row>
  </sheetData>
  <sheetProtection/>
  <mergeCells count="5">
    <mergeCell ref="C144:F144"/>
    <mergeCell ref="C142:F142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4:F138 C73:F87 C90:F104 C107:F121 C56:F68 C29:F43 C12:F26 C46:F53">
      <formula1>0</formula1>
      <formula2>9999999999999990</formula2>
    </dataValidation>
  </dataValidations>
  <printOptions horizontalCentered="1" verticalCentered="1"/>
  <pageMargins left="0.23" right="0.25" top="0.25" bottom="0.5118110236220472" header="0.25" footer="0.5118110236220472"/>
  <pageSetup horizontalDpi="96" verticalDpi="96" orientation="portrait" paperSize="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2008-05-17T13:07:10Z</cp:lastPrinted>
  <dcterms:created xsi:type="dcterms:W3CDTF">2000-06-29T12:02:40Z</dcterms:created>
  <dcterms:modified xsi:type="dcterms:W3CDTF">2008-05-28T08:04:41Z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