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98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<sst xmlns="http://schemas.openxmlformats.org/spreadsheetml/2006/main" count="1075" uniqueCount="886">
  <si>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</si>
  <si>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</si>
  <si>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</si>
  <si>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</si>
  <si>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</si>
  <si>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</si>
  <si>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</si>
  <si>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</si>
  <si>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</si>
  <si>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</si>
  <si>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</si>
  <si>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</si>
  <si>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</si>
  <si>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</si>
  <si>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</si>
  <si>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</si>
  <si>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</si>
  <si>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</si>
  <si>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</si>
  <si>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</si>
  <si>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</si>
  <si>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</si>
  <si>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</si>
  <si>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</si>
  <si>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</si>
  <si>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</si>
  <si>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</si>
  <si>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</si>
  <si>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</si>
  <si>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</si>
  <si>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</si>
  <si>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</si>
  <si>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</si>
  <si>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</si>
  <si>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</si>
  <si>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</si>
  <si>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</si>
  <si>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</si>
  <si>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</si>
  <si>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</si>
  <si>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</si>
  <si>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</si>
  <si>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</si>
  <si>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</si>
  <si>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</si>
  <si>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</si>
  <si>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</si>
  <si>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</si>
  <si>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</si>
  <si>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</si>
  <si>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</si>
  <si>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</si>
  <si>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</si>
  <si>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</si>
  <si>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</si>
  <si>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</si>
  <si>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</si>
  <si>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</si>
  <si>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</si>
  <si>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</si>
  <si>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</si>
  <si>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</si>
  <si>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</si>
  <si>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</si>
  <si>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</si>
  <si>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</si>
  <si>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</si>
  <si>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</si>
  <si>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</si>
  <si>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</si>
  <si>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</si>
  <si>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</si>
  <si>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</si>
  <si>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</si>
  <si>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</si>
  <si>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</si>
  <si>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</si>
  <si>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</si>
  <si>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</si>
  <si>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</si>
  <si>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</si>
  <si>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</si>
  <si>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</si>
  <si>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</si>
  <si>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</si>
  <si>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</si>
  <si>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</si>
  <si>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</si>
  <si>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</si>
  <si>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</si>
  <si>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</si>
  <si>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</si>
  <si>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</si>
  <si>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</si>
  <si>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</si>
  <si>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</si>
  <si>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</si>
  <si>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</si>
  <si>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</si>
  <si>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</si>
  <si>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</si>
  <si>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</si>
  <si>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</si>
  <si>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</si>
  <si>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</si>
  <si>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</si>
  <si>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</si>
  <si>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</si>
  <si>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</si>
  <si>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</si>
  <si>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</si>
  <si>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</si>
  <si>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</si>
  <si>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</si>
  <si>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</si>
  <si>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</si>
  <si>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</si>
  <si>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</si>
  <si>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</si>
  <si>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</si>
  <si>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</si>
  <si>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</si>
  <si>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</si>
  <si>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</si>
  <si>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</si>
  <si>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</si>
  <si>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</si>
  <si>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</si>
  <si>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</si>
  <si>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</si>
  <si>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</si>
  <si>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</si>
  <si>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</si>
  <si>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</si>
  <si>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</si>
  <si>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</si>
  <si>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</si>
  <si>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</si>
  <si>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</si>
  <si>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</si>
  <si>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</si>
  <si>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</si>
  <si>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</si>
  <si>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</si>
  <si>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</si>
  <si>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</si>
  <si>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</si>
  <si>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</si>
  <si>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</si>
  <si>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</si>
  <si>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</si>
  <si>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</si>
  <si>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</si>
  <si>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</si>
  <si>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</si>
  <si>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</si>
  <si>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</si>
  <si>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</si>
  <si>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</si>
  <si>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</si>
  <si>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</si>
  <si>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</si>
  <si>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</si>
  <si>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</si>
  <si>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</si>
  <si>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</si>
  <si>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</si>
  <si>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</si>
  <si>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</si>
  <si>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</si>
  <si>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</si>
  <si>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</si>
  <si>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</si>
  <si>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</si>
  <si>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</si>
  <si>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</si>
  <si>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</si>
  <si>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</si>
  <si>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</si>
  <si>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</si>
  <si>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</si>
  <si>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</si>
  <si>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</si>
  <si>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</si>
  <si>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</si>
  <si>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</si>
  <si>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</si>
  <si>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</si>
  <si>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</si>
  <si>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</si>
  <si>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</si>
  <si>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</si>
  <si>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</si>
  <si>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</si>
  <si>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</si>
  <si>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</si>
  <si>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</si>
  <si>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</si>
  <si>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</si>
  <si>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</si>
  <si>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</si>
  <si>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</si>
  <si>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</si>
  <si>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</si>
  <si>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</si>
  <si>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</si>
  <si>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</si>
  <si>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</si>
  <si>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</si>
  <si>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</si>
  <si>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</si>
  <si>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</si>
  <si>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</si>
  <si>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</si>
  <si>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</si>
  <si>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</si>
  <si>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</si>
  <si>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</si>
  <si>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</si>
  <si>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</si>
  <si>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</si>
  <si>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</si>
  <si>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</si>
  <si>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</si>
  <si>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</si>
  <si>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</si>
  <si>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</si>
  <si>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</si>
  <si>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</si>
  <si>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</si>
  <si>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</si>
  <si>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</si>
  <si>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</si>
  <si>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</si>
  <si>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</si>
  <si>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</si>
  <si>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</si>
  <si>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</si>
  <si>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</si>
  <si>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</si>
  <si>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</si>
  <si>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</si>
  <si>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</si>
  <si>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</si>
  <si>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</si>
  <si>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</si>
  <si>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</si>
  <si>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</si>
  <si>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</si>
  <si>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</si>
  <si>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</si>
  <si>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</si>
  <si>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</si>
  <si>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</si>
  <si>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</si>
  <si>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</si>
  <si>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</si>
  <si>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</si>
  <si>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</si>
  <si>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</si>
  <si>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</si>
  <si>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</si>
  <si>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</si>
  <si>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</si>
  <si>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</si>
  <si>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</si>
  <si>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</si>
  <si>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</si>
  <si>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</si>
  <si>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</si>
  <si>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</si>
  <si>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</si>
  <si>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</si>
  <si>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</si>
  <si>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</si>
  <si>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</si>
  <si>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</si>
  <si>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</si>
  <si>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</si>
  <si>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</si>
  <si>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</si>
  <si>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</si>
  <si>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</si>
  <si>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</si>
  <si>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</si>
  <si>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</si>
  <si>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</si>
  <si>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</si>
  <si>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</si>
  <si>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</si>
  <si>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</si>
  <si>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</si>
  <si>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</si>
  <si>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</si>
  <si>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</si>
  <si>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</si>
  <si>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</si>
  <si>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</si>
  <si>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</si>
  <si>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</si>
  <si>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</si>
  <si>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</si>
  <si>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</si>
  <si>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</si>
  <si>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</si>
  <si>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</si>
  <si>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</si>
  <si>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</si>
  <si>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</si>
  <si>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</si>
  <si>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</si>
  <si>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</si>
  <si>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</si>
  <si>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</si>
  <si>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</si>
  <si>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</si>
  <si>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</si>
  <si>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</si>
  <si>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</si>
  <si>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</si>
  <si>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</si>
  <si>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</si>
  <si>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</si>
  <si>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</si>
  <si>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</si>
  <si>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</si>
  <si>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</si>
  <si>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</si>
  <si>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</si>
  <si>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</si>
  <si>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</si>
  <si>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</si>
  <si>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</si>
  <si>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</si>
  <si>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</si>
  <si>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</si>
  <si>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</si>
  <si>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</si>
  <si>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</si>
  <si>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</si>
  <si>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</si>
  <si>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</si>
  <si>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</si>
  <si>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</si>
  <si>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</si>
  <si>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</si>
  <si>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</si>
  <si>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</si>
  <si>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</si>
  <si>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</si>
  <si>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</si>
  <si>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</si>
  <si>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</si>
  <si>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</si>
  <si>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</si>
  <si>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</si>
  <si>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</si>
  <si>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</si>
  <si>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</si>
  <si>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</si>
  <si>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</si>
  <si>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</si>
  <si>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</si>
  <si>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</si>
  <si>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</si>
  <si>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</si>
  <si>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</si>
  <si>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</si>
  <si>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</si>
  <si>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</si>
  <si>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</si>
  <si>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</si>
  <si>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</si>
  <si>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</si>
  <si>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</si>
  <si>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</si>
  <si>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</si>
  <si>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</si>
  <si>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</si>
  <si>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</si>
  <si>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</si>
  <si>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</si>
  <si>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</si>
  <si>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</si>
  <si>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</si>
  <si>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</si>
  <si>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</si>
  <si>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</si>
  <si>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</si>
  <si>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</si>
  <si>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</si>
  <si>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</si>
  <si>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</si>
  <si>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</si>
  <si>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</si>
  <si>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</si>
  <si>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</si>
  <si>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</si>
  <si>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</si>
  <si>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</si>
  <si>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</si>
  <si>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</si>
  <si>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</si>
  <si>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</si>
  <si>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</si>
  <si>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</si>
  <si>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</si>
  <si>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</si>
  <si>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</si>
  <si>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</si>
  <si>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</si>
  <si>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</si>
  <si>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</si>
  <si>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</si>
  <si>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</si>
  <si>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</si>
  <si>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</si>
  <si>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</si>
  <si>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</si>
  <si>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</si>
  <si>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</si>
  <si>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</si>
  <si>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</si>
  <si>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</si>
  <si>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</si>
  <si>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</si>
  <si>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</si>
  <si>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</si>
  <si>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</si>
  <si>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</si>
  <si>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</si>
  <si>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</si>
  <si>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</si>
  <si>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</si>
  <si>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</si>
  <si>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</si>
  <si>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</si>
  <si>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</si>
  <si>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</si>
  <si>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</si>
  <si>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</si>
  <si>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</si>
  <si>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</si>
  <si>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</si>
  <si>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</si>
  <si>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</si>
  <si>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</si>
  <si>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</si>
  <si>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</si>
  <si>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</si>
  <si>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</si>
  <si>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</si>
  <si>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</si>
  <si>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</si>
  <si>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</si>
  <si>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</si>
  <si>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</si>
  <si>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</si>
  <si>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</si>
  <si>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</si>
  <si>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</si>
  <si>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</si>
  <si>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</si>
  <si>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</si>
  <si>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</si>
  <si>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</si>
  <si>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</si>
  <si>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</si>
  <si>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</si>
  <si>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</si>
  <si>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</si>
  <si>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</si>
  <si>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</si>
  <si>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</si>
  <si>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</si>
  <si>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</si>
  <si>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</si>
  <si>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</si>
  <si>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</si>
  <si>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</si>
  <si>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</si>
  <si>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</si>
  <si>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</si>
  <si>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</si>
  <si>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</si>
  <si>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</si>
  <si>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</si>
  <si>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</si>
  <si>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</si>
  <si>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</si>
  <si>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</si>
  <si>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</si>
  <si>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</si>
  <si>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</si>
  <si>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</si>
  <si>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</si>
  <si>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</si>
  <si>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</si>
  <si>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</si>
  <si>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</si>
  <si>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</si>
  <si>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</si>
  <si>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</si>
  <si>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</si>
  <si>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</si>
  <si>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</si>
  <si>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</si>
  <si>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</si>
  <si>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</si>
  <si>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</si>
  <si>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</si>
  <si>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</si>
  <si>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</si>
  <si>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</si>
  <si>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</si>
  <si>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</si>
  <si>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</si>
  <si>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</si>
  <si>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</si>
  <si>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</si>
  <si>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</si>
  <si>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</si>
  <si>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</si>
  <si>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</si>
  <si>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</si>
  <si>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</si>
  <si>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</si>
  <si>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</si>
  <si>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</si>
  <si>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</si>
  <si>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</si>
  <si>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</si>
  <si>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</si>
  <si>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</si>
  <si>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</si>
  <si>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</si>
  <si>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</si>
  <si>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</si>
  <si>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</si>
  <si>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</si>
  <si>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</si>
  <si>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</si>
  <si>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</si>
  <si>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</si>
  <si>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</si>
  <si>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</si>
  <si>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</si>
  <si>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</si>
  <si>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</si>
  <si>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</si>
  <si>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</si>
  <si>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</si>
  <si>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</si>
  <si>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</si>
  <si>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</si>
  <si>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</si>
  <si>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</si>
  <si>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</si>
  <si>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</si>
  <si>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</si>
  <si>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</si>
  <si>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</si>
  <si>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</si>
  <si>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</si>
  <si>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</si>
  <si>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</si>
  <si>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</si>
  <si>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</si>
  <si>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</si>
  <si>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</si>
  <si>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</si>
  <si>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</si>
  <si>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</si>
  <si>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</si>
  <si>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</si>
  <si>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</si>
  <si>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</si>
  <si>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</si>
  <si>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</si>
  <si>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</si>
  <si>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</si>
  <si>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</si>
  <si>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</si>
  <si>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</si>
  <si>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</si>
  <si>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</si>
  <si>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</si>
  <si>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</si>
  <si>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</si>
  <si>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</si>
  <si>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</si>
  <si>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</si>
  <si>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</si>
  <si>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</si>
  <si>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</si>
  <si>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</si>
  <si>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</si>
  <si>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</si>
  <si>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</si>
  <si>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</si>
  <si>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</si>
  <si>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</si>
  <si>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</si>
  <si>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</si>
  <si>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</si>
  <si>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</si>
  <si>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</si>
  <si>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</si>
  <si>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</si>
  <si>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</si>
  <si>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</si>
  <si>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</si>
  <si>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</si>
  <si>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</si>
  <si>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</si>
  <si>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</si>
  <si>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</si>
  <si>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</si>
  <si>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</si>
  <si>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</si>
  <si>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</si>
  <si>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</si>
  <si>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</si>
  <si>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</si>
  <si>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</si>
  <si>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</si>
  <si>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</si>
  <si>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</si>
  <si>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</si>
  <si>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</si>
  <si>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</si>
  <si>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</si>
  <si>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</si>
  <si>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</si>
  <si>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</si>
  <si>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</si>
  <si>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</si>
  <si>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</si>
  <si>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</si>
  <si>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</si>
  <si>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</si>
  <si>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</si>
  <si>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</si>
  <si>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</si>
  <si>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</si>
  <si>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</si>
  <si>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</si>
  <si>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</si>
  <si>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</si>
  <si>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</si>
  <si>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</si>
  <si>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</si>
  <si>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</si>
  <si>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</si>
  <si>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</si>
  <si>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</si>
  <si>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</si>
  <si>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</si>
  <si>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</si>
  <si>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</si>
  <si>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</si>
  <si>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</si>
  <si>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</si>
  <si>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</si>
  <si>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</si>
  <si>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</si>
  <si>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</si>
  <si>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</si>
  <si>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</si>
  <si>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</si>
  <si>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</si>
  <si>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</si>
  <si>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</si>
  <si>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</si>
  <si>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</si>
  <si>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</si>
  <si>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</si>
  <si>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</si>
  <si>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</si>
  <si>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</si>
  <si>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</si>
  <si>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</si>
  <si>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</si>
  <si>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</si>
  <si>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</si>
  <si>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</si>
  <si>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</si>
  <si>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</si>
  <si>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</si>
  <si>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</si>
  <si>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</si>
  <si>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</si>
  <si>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</si>
  <si>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</si>
  <si>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</si>
  <si>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</si>
  <si>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</si>
  <si>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</si>
  <si>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</si>
  <si>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</si>
  <si>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</si>
  <si>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</si>
  <si>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</si>
  <si>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</si>
  <si>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</si>
  <si>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</si>
  <si>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</si>
  <si>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</si>
  <si>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</si>
  <si>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</si>
  <si>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</si>
  <si>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</si>
  <si>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</si>
  <si>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</si>
  <si>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</si>
  <si>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</si>
  <si>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</si>
  <si>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</si>
  <si>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</si>
  <si>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</si>
  <si>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</si>
  <si>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</si>
  <si>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</si>
  <si>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</si>
  <si>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</si>
  <si>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</si>
  <si>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</si>
  <si>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</si>
  <si>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</si>
  <si>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</si>
  <si>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</si>
  <si>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</si>
  <si>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</si>
  <si>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</si>
  <si>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</si>
  <si>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</si>
  <si>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</si>
  <si>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</si>
  <si>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</si>
  <si>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</si>
  <si>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</si>
  <si>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</si>
  <si>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</si>
  <si>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</si>
  <si>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</si>
  <si>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</si>
  <si>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</si>
  <si>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</si>
  <si>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</si>
  <si>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</si>
  <si>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</si>
  <si>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</si>
  <si>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</si>
  <si>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</si>
  <si>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</si>
  <si>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</si>
  <si>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</si>
  <si>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</si>
  <si>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</si>
  <si>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</si>
  <si>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</si>
  <si>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</si>
  <si>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</si>
  <si>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</si>
  <si>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</si>
  <si>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</si>
  <si>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</si>
  <si>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</si>
  <si>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</si>
  <si>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</si>
  <si>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</si>
  <si>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</si>
  <si>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</si>
  <si>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</si>
  <si>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</si>
  <si>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</si>
  <si>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</si>
  <si>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</si>
  <si>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</si>
  <si>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</si>
  <si>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</si>
  <si>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</si>
  <si>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</si>
  <si>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</si>
  <si>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</si>
  <si>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</si>
  <si>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</si>
  <si>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</si>
  <si>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</si>
  <si>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</si>
  <si>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</si>
  <si>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</si>
  <si>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</si>
  <si>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</si>
  <si>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</si>
  <si>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</si>
  <si>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</si>
  <si>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</si>
  <si>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</si>
  <si>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</si>
  <si>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</si>
  <si>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</si>
  <si>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</si>
  <si>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</si>
  <si>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</si>
  <si>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</si>
  <si>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</si>
  <si>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</si>
  <si>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</si>
  <si>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</si>
  <si>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</si>
  <si>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</si>
  <si>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</si>
  <si>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</si>
  <si>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</si>
  <si>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</si>
  <si>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</si>
  <si>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</si>
  <si>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</si>
  <si>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</si>
  <si>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</si>
  <si>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</si>
  <si>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</si>
  <si>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</si>
  <si>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</si>
  <si>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</si>
  <si>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</si>
  <si>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</si>
  <si>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</si>
  <si>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</si>
  <si>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</si>
  <si>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</si>
  <si>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</si>
  <si>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</si>
  <si>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</si>
  <si>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</si>
  <si>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</si>
  <si>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</si>
  <si>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</si>
  <si>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</si>
  <si>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</si>
  <si>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</si>
  <si>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</si>
  <si>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</si>
  <si>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</si>
  <si>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</si>
  <si>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</si>
  <si>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</si>
  <si>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</si>
  <si>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</si>
  <si>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</si>
  <si>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</si>
  <si>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</si>
  <si>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</si>
  <si>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</si>
  <si>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</si>
  <si>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</si>
  <si>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</si>
  <si>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</si>
  <si>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</si>
  <si>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</si>
  <si>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</si>
  <si>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</si>
  <si>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</si>
  <si>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</si>
  <si>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</si>
  <si>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</si>
  <si>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</si>
  <si>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</si>
  <si>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</si>
  <si>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</si>
  <si>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</si>
  <si>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</si>
  <si>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</si>
  <si>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</si>
  <si>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</si>
  <si>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</si>
  <si>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>1."Рудметал" АД</t>
  </si>
  <si>
    <t>30.06.2017 г.</t>
  </si>
  <si>
    <t>Дата на съставяне:28.07.2017г.</t>
  </si>
  <si>
    <t>28.07.2017 г.</t>
  </si>
  <si>
    <t xml:space="preserve">Дата на съставяне:28.07.2017г.                                     </t>
  </si>
  <si>
    <t>Дата  на съставяне28.07.2017г.</t>
  </si>
  <si>
    <t>Дата на съставяне:28.07.2017 г.</t>
  </si>
  <si>
    <t>Дата на съставяне:28.07.2017г</t>
  </si>
  <si>
    <r>
      <t xml:space="preserve">Дата на съставяне: </t>
    </r>
    <r>
      <rPr>
        <sz val="10"/>
        <rFont val="Times New Roman"/>
        <family val="1"/>
      </rPr>
      <t>28.07.2017 г.</t>
    </r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</si>
</sst>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6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6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Continuous" wrapText="1"/>
      <protection locked="0"/>
    </xf>
    <xf numFmtId="0" fontId="11" fillId="0" borderId="0" xfId="44" applyFont="1" applyAlignment="1">
      <alignment horizontal="centerContinuous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5" fontId="12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right"/>
      <protection/>
    </xf>
    <xf numFmtId="166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166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Continuous" vertical="center" wrapText="1"/>
      <protection/>
    </xf>
    <xf numFmtId="0" fontId="11" fillId="0" borderId="24" xfId="39" applyFont="1" applyBorder="1" applyAlignment="1" applyProtection="1">
      <alignment horizontal="centerContinuous" vertical="center" wrapText="1"/>
      <protection/>
    </xf>
    <xf numFmtId="0" fontId="11" fillId="0" borderId="23" xfId="39" applyFont="1" applyBorder="1" applyAlignment="1" applyProtection="1">
      <alignment horizontal="centerContinuous" vertical="center" wrapText="1"/>
      <protection/>
    </xf>
    <xf numFmtId="0" fontId="11" fillId="0" borderId="25" xfId="39" applyFont="1" applyBorder="1" applyAlignment="1" applyProtection="1">
      <alignment horizontal="centerContinuous" vertical="center" wrapText="1"/>
      <protection/>
    </xf>
    <xf numFmtId="49" fontId="11" fillId="0" borderId="13" xfId="39" applyNumberFormat="1" applyFont="1" applyBorder="1" applyAlignment="1" applyProtection="1">
      <alignment horizontal="centerContinuous" vertical="center" wrapText="1"/>
      <protection/>
    </xf>
    <xf numFmtId="49" fontId="11" fillId="0" borderId="11" xfId="39" applyNumberFormat="1" applyFont="1" applyBorder="1" applyAlignment="1" applyProtection="1">
      <alignment horizontal="centerContinuous" vertical="center" wrapText="1"/>
      <protection/>
    </xf>
    <xf numFmtId="0" fontId="12" fillId="0" borderId="0" xfId="39" applyFont="1" applyAlignment="1" applyProtection="1">
      <alignment horizontal="centerContinuous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Continuous" vertical="center" wrapText="1"/>
      <protection/>
    </xf>
    <xf numFmtId="0" fontId="11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Continuous" vertical="center" wrapText="1"/>
      <protection/>
    </xf>
    <xf numFmtId="166" fontId="11" fillId="0" borderId="0" xfId="39" applyNumberFormat="1" applyFont="1" applyBorder="1" applyAlignment="1" applyProtection="1">
      <alignment horizontal="centerContinuous" vertical="justify" wrapText="1"/>
      <protection/>
    </xf>
    <xf numFmtId="166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6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Continuous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6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zoomScalePageLayoutView="0" workbookViewId="0" topLeftCell="A7">
      <selection activeCell="H25" sqref="H2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8.5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5">
      <c r="A5" s="150" t="s">
        <v>6</v>
      </c>
      <c r="B5" s="579"/>
      <c r="C5" s="579"/>
      <c r="D5" s="579"/>
      <c r="E5" s="505" t="s">
        <v>878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655</v>
      </c>
      <c r="D11" s="151">
        <v>655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5">
      <c r="A12" s="235" t="s">
        <v>25</v>
      </c>
      <c r="B12" s="241" t="s">
        <v>26</v>
      </c>
      <c r="C12" s="151">
        <v>10123</v>
      </c>
      <c r="D12" s="151">
        <v>10174</v>
      </c>
      <c r="E12" s="237" t="s">
        <v>27</v>
      </c>
      <c r="F12" s="242" t="s">
        <v>28</v>
      </c>
      <c r="G12" s="153"/>
      <c r="H12" s="153">
        <v>7502</v>
      </c>
    </row>
    <row r="13" spans="1:8" ht="15">
      <c r="A13" s="235" t="s">
        <v>29</v>
      </c>
      <c r="B13" s="241" t="s">
        <v>30</v>
      </c>
      <c r="C13" s="151">
        <v>25983</v>
      </c>
      <c r="D13" s="151">
        <v>26115</v>
      </c>
      <c r="E13" s="237" t="s">
        <v>31</v>
      </c>
      <c r="F13" s="242" t="s">
        <v>32</v>
      </c>
      <c r="G13" s="153">
        <v>7502</v>
      </c>
      <c r="H13" s="153"/>
    </row>
    <row r="14" spans="1:8" ht="15">
      <c r="A14" s="235" t="s">
        <v>33</v>
      </c>
      <c r="B14" s="241" t="s">
        <v>34</v>
      </c>
      <c r="C14" s="151">
        <v>438</v>
      </c>
      <c r="D14" s="151">
        <v>448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62</v>
      </c>
      <c r="D15" s="151">
        <v>64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>
        <v>2</v>
      </c>
      <c r="D16" s="151">
        <v>2</v>
      </c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3358</v>
      </c>
      <c r="D17" s="151">
        <v>2887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/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40621</v>
      </c>
      <c r="D19" s="155">
        <f>SUM(D11:D18)</f>
        <v>40346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30730</v>
      </c>
      <c r="H20" s="158">
        <v>30730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4702</v>
      </c>
      <c r="H21" s="156">
        <f>SUM(H22:H24)</f>
        <v>4691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4702</v>
      </c>
      <c r="H22" s="152">
        <v>4691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35432</v>
      </c>
      <c r="H25" s="154">
        <f>H19+H20+H21</f>
        <v>35421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/>
      <c r="H28" s="152"/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9</v>
      </c>
      <c r="H31" s="152">
        <v>11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9</v>
      </c>
      <c r="H33" s="154">
        <f>H27+H31+H32</f>
        <v>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42943</v>
      </c>
      <c r="H36" s="154">
        <f>H25+H17+H33</f>
        <v>42934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1</v>
      </c>
      <c r="D45" s="155">
        <f>D34+D39+D44</f>
        <v>1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2951</v>
      </c>
      <c r="H53" s="152">
        <v>2951</v>
      </c>
    </row>
    <row r="54" spans="1:8" ht="1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40622</v>
      </c>
      <c r="D55" s="155">
        <f>D19+D20+D21+D27+D32+D45+D51+D53+D54</f>
        <v>40347</v>
      </c>
      <c r="E55" s="237" t="s">
        <v>173</v>
      </c>
      <c r="F55" s="261" t="s">
        <v>174</v>
      </c>
      <c r="G55" s="154">
        <f>G49+G51+G52+G53+G54</f>
        <v>2951</v>
      </c>
      <c r="H55" s="154">
        <f>H49+H51+H52+H53+H54</f>
        <v>2951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1558</v>
      </c>
      <c r="D58" s="151">
        <v>1535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2973</v>
      </c>
      <c r="D59" s="151">
        <v>2522</v>
      </c>
      <c r="E59" s="251" t="s">
        <v>182</v>
      </c>
      <c r="F59" s="242" t="s">
        <v>183</v>
      </c>
      <c r="G59" s="152">
        <v>5514</v>
      </c>
      <c r="H59" s="152">
        <v>4266</v>
      </c>
      <c r="M59" s="157"/>
    </row>
    <row r="60" spans="1:8" ht="15">
      <c r="A60" s="235" t="s">
        <v>184</v>
      </c>
      <c r="B60" s="241" t="s">
        <v>185</v>
      </c>
      <c r="C60" s="151">
        <v>858</v>
      </c>
      <c r="D60" s="151">
        <v>934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>
        <v>3411</v>
      </c>
      <c r="D61" s="151">
        <v>3305</v>
      </c>
      <c r="E61" s="243" t="s">
        <v>190</v>
      </c>
      <c r="F61" s="272" t="s">
        <v>191</v>
      </c>
      <c r="G61" s="154">
        <f>SUM(G62:G68)</f>
        <v>1213</v>
      </c>
      <c r="H61" s="154">
        <f>SUM(H62:H68)</f>
        <v>889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>
        <v>153</v>
      </c>
      <c r="H62" s="152">
        <v>384</v>
      </c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8800</v>
      </c>
      <c r="D64" s="155">
        <f>SUM(D58:D63)</f>
        <v>8296</v>
      </c>
      <c r="E64" s="237" t="s">
        <v>201</v>
      </c>
      <c r="F64" s="242" t="s">
        <v>202</v>
      </c>
      <c r="G64" s="152">
        <v>444</v>
      </c>
      <c r="H64" s="152">
        <v>257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477</v>
      </c>
      <c r="H65" s="152">
        <v>92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105</v>
      </c>
      <c r="H66" s="152">
        <v>110</v>
      </c>
    </row>
    <row r="67" spans="1:8" ht="15">
      <c r="A67" s="235" t="s">
        <v>208</v>
      </c>
      <c r="B67" s="241" t="s">
        <v>209</v>
      </c>
      <c r="C67" s="151">
        <v>438</v>
      </c>
      <c r="D67" s="151">
        <v>601</v>
      </c>
      <c r="E67" s="237" t="s">
        <v>210</v>
      </c>
      <c r="F67" s="242" t="s">
        <v>211</v>
      </c>
      <c r="G67" s="152">
        <v>22</v>
      </c>
      <c r="H67" s="152">
        <v>24</v>
      </c>
    </row>
    <row r="68" spans="1:8" ht="15">
      <c r="A68" s="235" t="s">
        <v>212</v>
      </c>
      <c r="B68" s="241" t="s">
        <v>213</v>
      </c>
      <c r="C68" s="151">
        <v>2233</v>
      </c>
      <c r="D68" s="151">
        <v>1200</v>
      </c>
      <c r="E68" s="237" t="s">
        <v>214</v>
      </c>
      <c r="F68" s="242" t="s">
        <v>215</v>
      </c>
      <c r="G68" s="152">
        <v>12</v>
      </c>
      <c r="H68" s="152">
        <v>22</v>
      </c>
    </row>
    <row r="69" spans="1:8" ht="15">
      <c r="A69" s="235" t="s">
        <v>216</v>
      </c>
      <c r="B69" s="241" t="s">
        <v>217</v>
      </c>
      <c r="C69" s="151">
        <v>380</v>
      </c>
      <c r="D69" s="151">
        <v>381</v>
      </c>
      <c r="E69" s="251" t="s">
        <v>79</v>
      </c>
      <c r="F69" s="242" t="s">
        <v>218</v>
      </c>
      <c r="G69" s="152">
        <v>22</v>
      </c>
      <c r="H69" s="152">
        <v>21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6749</v>
      </c>
      <c r="H71" s="161">
        <f>H59+H60+H61+H69+H70</f>
        <v>5176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26</v>
      </c>
      <c r="D72" s="151">
        <v>2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116</v>
      </c>
      <c r="D74" s="151">
        <v>97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3193</v>
      </c>
      <c r="D75" s="155">
        <f>SUM(D67:D74)</f>
        <v>2281</v>
      </c>
      <c r="E75" s="251" t="s">
        <v>161</v>
      </c>
      <c r="F75" s="245" t="s">
        <v>235</v>
      </c>
      <c r="G75" s="152">
        <v>69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2</v>
      </c>
      <c r="H76" s="152">
        <v>2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6820</v>
      </c>
      <c r="H79" s="162">
        <f>H71+H74+H75+H76</f>
        <v>5178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23</v>
      </c>
      <c r="D87" s="151">
        <v>46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76</v>
      </c>
      <c r="D88" s="151">
        <v>93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99</v>
      </c>
      <c r="D91" s="155">
        <f>SUM(D87:D90)</f>
        <v>139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/>
      <c r="D92" s="151"/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12092</v>
      </c>
      <c r="D93" s="155">
        <f>D64+D75+D84+D91+D92</f>
        <v>10716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52714</v>
      </c>
      <c r="D94" s="164">
        <f>D93+D55</f>
        <v>51063</v>
      </c>
      <c r="E94" s="449" t="s">
        <v>271</v>
      </c>
      <c r="F94" s="289" t="s">
        <v>272</v>
      </c>
      <c r="G94" s="165">
        <f>G36+G39+G55+G79</f>
        <v>52714</v>
      </c>
      <c r="H94" s="165">
        <f>H36+H39+H55+H79</f>
        <v>51063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5">
      <c r="C99" s="45"/>
      <c r="D99" s="1"/>
      <c r="E99" s="45" t="s">
        <v>863</v>
      </c>
      <c r="F99" s="170"/>
      <c r="G99" s="171"/>
      <c r="H99" s="172"/>
    </row>
    <row r="100" spans="1:5" ht="15">
      <c r="A100" s="173"/>
      <c r="B100" s="173"/>
      <c r="D100" s="582"/>
      <c r="E100" s="212" t="s">
        <v>387</v>
      </c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84" zoomScaleNormal="84" zoomScalePageLayoutView="0" workbookViewId="0" topLeftCell="A1">
      <selection activeCell="D18" sqref="D1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4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 t="str">
        <f>'справка №1-БАЛАНС'!E5</f>
        <v>30.06.2017 г.</v>
      </c>
      <c r="C4" s="586"/>
      <c r="D4" s="586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1820</v>
      </c>
      <c r="D9" s="46">
        <v>1740</v>
      </c>
      <c r="E9" s="298" t="s">
        <v>286</v>
      </c>
      <c r="F9" s="549" t="s">
        <v>287</v>
      </c>
      <c r="G9" s="550">
        <v>1754</v>
      </c>
      <c r="H9" s="550">
        <v>2356</v>
      </c>
    </row>
    <row r="10" spans="1:8" ht="12">
      <c r="A10" s="298" t="s">
        <v>288</v>
      </c>
      <c r="B10" s="299" t="s">
        <v>289</v>
      </c>
      <c r="C10" s="46">
        <v>150</v>
      </c>
      <c r="D10" s="46">
        <v>91</v>
      </c>
      <c r="E10" s="298" t="s">
        <v>290</v>
      </c>
      <c r="F10" s="549" t="s">
        <v>291</v>
      </c>
      <c r="G10" s="550">
        <v>1857</v>
      </c>
      <c r="H10" s="550">
        <v>3313</v>
      </c>
    </row>
    <row r="11" spans="1:8" ht="12">
      <c r="A11" s="298" t="s">
        <v>292</v>
      </c>
      <c r="B11" s="299" t="s">
        <v>293</v>
      </c>
      <c r="C11" s="46">
        <v>198</v>
      </c>
      <c r="D11" s="46">
        <v>197</v>
      </c>
      <c r="E11" s="300" t="s">
        <v>294</v>
      </c>
      <c r="F11" s="549" t="s">
        <v>295</v>
      </c>
      <c r="G11" s="550">
        <v>24</v>
      </c>
      <c r="H11" s="550">
        <v>33</v>
      </c>
    </row>
    <row r="12" spans="1:8" ht="12">
      <c r="A12" s="298" t="s">
        <v>296</v>
      </c>
      <c r="B12" s="299" t="s">
        <v>297</v>
      </c>
      <c r="C12" s="46">
        <v>450</v>
      </c>
      <c r="D12" s="46">
        <v>436</v>
      </c>
      <c r="E12" s="300" t="s">
        <v>79</v>
      </c>
      <c r="F12" s="549" t="s">
        <v>298</v>
      </c>
      <c r="G12" s="550">
        <v>24</v>
      </c>
      <c r="H12" s="550">
        <v>8</v>
      </c>
    </row>
    <row r="13" spans="1:18" ht="12">
      <c r="A13" s="298" t="s">
        <v>299</v>
      </c>
      <c r="B13" s="299" t="s">
        <v>300</v>
      </c>
      <c r="C13" s="46">
        <v>86</v>
      </c>
      <c r="D13" s="46">
        <v>83</v>
      </c>
      <c r="E13" s="301" t="s">
        <v>52</v>
      </c>
      <c r="F13" s="551" t="s">
        <v>301</v>
      </c>
      <c r="G13" s="548">
        <f>SUM(G9:G12)</f>
        <v>3659</v>
      </c>
      <c r="H13" s="548">
        <f>SUM(H9:H12)</f>
        <v>5710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1828</v>
      </c>
      <c r="D14" s="46">
        <v>3279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-1005</v>
      </c>
      <c r="D15" s="47">
        <v>-259</v>
      </c>
      <c r="E15" s="296" t="s">
        <v>306</v>
      </c>
      <c r="F15" s="554" t="s">
        <v>307</v>
      </c>
      <c r="G15" s="550"/>
      <c r="H15" s="550"/>
    </row>
    <row r="16" spans="1:8" ht="12">
      <c r="A16" s="298" t="s">
        <v>308</v>
      </c>
      <c r="B16" s="299" t="s">
        <v>309</v>
      </c>
      <c r="C16" s="47">
        <v>22</v>
      </c>
      <c r="D16" s="47">
        <v>18</v>
      </c>
      <c r="E16" s="298" t="s">
        <v>310</v>
      </c>
      <c r="F16" s="552" t="s">
        <v>311</v>
      </c>
      <c r="G16" s="555"/>
      <c r="H16" s="555"/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3549</v>
      </c>
      <c r="D19" s="49">
        <f>SUM(D9:D15)+D16</f>
        <v>5585</v>
      </c>
      <c r="E19" s="304" t="s">
        <v>318</v>
      </c>
      <c r="F19" s="552" t="s">
        <v>319</v>
      </c>
      <c r="G19" s="550"/>
      <c r="H19" s="550">
        <v>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3</v>
      </c>
      <c r="H21" s="550">
        <v>4</v>
      </c>
    </row>
    <row r="22" spans="1:8" ht="24">
      <c r="A22" s="304" t="s">
        <v>325</v>
      </c>
      <c r="B22" s="305" t="s">
        <v>326</v>
      </c>
      <c r="C22" s="46">
        <v>82</v>
      </c>
      <c r="D22" s="46">
        <v>103</v>
      </c>
      <c r="E22" s="304" t="s">
        <v>327</v>
      </c>
      <c r="F22" s="552" t="s">
        <v>328</v>
      </c>
      <c r="G22" s="550"/>
      <c r="H22" s="550"/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1</v>
      </c>
      <c r="D24" s="46">
        <v>6</v>
      </c>
      <c r="E24" s="301" t="s">
        <v>104</v>
      </c>
      <c r="F24" s="554" t="s">
        <v>335</v>
      </c>
      <c r="G24" s="548">
        <f>SUM(G19:G23)</f>
        <v>3</v>
      </c>
      <c r="H24" s="548">
        <f>SUM(H19:H23)</f>
        <v>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21</v>
      </c>
      <c r="D25" s="46">
        <v>18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104</v>
      </c>
      <c r="D26" s="49">
        <f>SUM(D22:D25)</f>
        <v>127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3653</v>
      </c>
      <c r="D28" s="50">
        <f>D26+D19</f>
        <v>5712</v>
      </c>
      <c r="E28" s="127" t="s">
        <v>340</v>
      </c>
      <c r="F28" s="554" t="s">
        <v>341</v>
      </c>
      <c r="G28" s="548">
        <f>G13+G15+G24</f>
        <v>3662</v>
      </c>
      <c r="H28" s="548">
        <f>H13+H15+H24</f>
        <v>5717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9</v>
      </c>
      <c r="D30" s="50">
        <f>IF((H28-D28)&gt;0,H28-D28,0)</f>
        <v>5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3653</v>
      </c>
      <c r="D33" s="49">
        <f>D28-D31+D32</f>
        <v>5712</v>
      </c>
      <c r="E33" s="127" t="s">
        <v>356</v>
      </c>
      <c r="F33" s="554" t="s">
        <v>357</v>
      </c>
      <c r="G33" s="53">
        <f>G32-G31+G28</f>
        <v>3662</v>
      </c>
      <c r="H33" s="53">
        <f>H32-H31+H28</f>
        <v>5717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9</v>
      </c>
      <c r="D34" s="50">
        <f>IF((H33-D33)&gt;0,H33-D33,0)</f>
        <v>5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9</v>
      </c>
      <c r="D39" s="460">
        <f>+IF((H33-D33-D35)&gt;0,H33-D33-D35,0)</f>
        <v>5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9</v>
      </c>
      <c r="D41" s="52">
        <f>IF(H39=0,IF(D39-D40&gt;0,D39-D40+H40,0),IF(H39-H40&lt;0,H40-H39+D39,0))</f>
        <v>5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3662</v>
      </c>
      <c r="D42" s="53">
        <f>D33+D35+D39</f>
        <v>5717</v>
      </c>
      <c r="E42" s="128" t="s">
        <v>383</v>
      </c>
      <c r="F42" s="129" t="s">
        <v>384</v>
      </c>
      <c r="G42" s="53">
        <f>G39+G33</f>
        <v>3662</v>
      </c>
      <c r="H42" s="53">
        <f>H39+H33</f>
        <v>5717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868</v>
      </c>
      <c r="F46" s="560"/>
      <c r="G46" s="625"/>
      <c r="H46" s="425"/>
    </row>
    <row r="47" spans="1:8" ht="12">
      <c r="A47" s="314"/>
      <c r="B47" s="424"/>
      <c r="C47" s="425"/>
      <c r="D47" s="426" t="s">
        <v>865</v>
      </c>
      <c r="E47" s="626" t="s">
        <v>867</v>
      </c>
      <c r="F47" s="560"/>
      <c r="G47" s="425"/>
      <c r="H47" s="425"/>
    </row>
    <row r="48" spans="1:15" ht="12">
      <c r="A48" s="503" t="s">
        <v>274</v>
      </c>
      <c r="B48" s="624" t="s">
        <v>880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J32" sqref="J3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 t="str">
        <f>'справка №1-БАЛАНС'!E5</f>
        <v>30.06.2017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3956</v>
      </c>
      <c r="D10" s="54">
        <v>6163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-4548</v>
      </c>
      <c r="D11" s="54">
        <v>-5706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-442</v>
      </c>
      <c r="D13" s="54">
        <v>-403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-76</v>
      </c>
      <c r="D14" s="54">
        <v>-122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-9</v>
      </c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-1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-86</v>
      </c>
      <c r="D19" s="54">
        <v>-92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-1206</v>
      </c>
      <c r="D20" s="55">
        <f>SUM(D10:D19)</f>
        <v>-172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4038</v>
      </c>
      <c r="D36" s="54">
        <v>3961</v>
      </c>
      <c r="E36" s="130"/>
      <c r="F36" s="130"/>
    </row>
    <row r="37" spans="1:6" ht="12">
      <c r="A37" s="332" t="s">
        <v>443</v>
      </c>
      <c r="B37" s="333" t="s">
        <v>444</v>
      </c>
      <c r="C37" s="54">
        <v>-2790</v>
      </c>
      <c r="D37" s="54">
        <v>-3269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-82</v>
      </c>
      <c r="D39" s="54">
        <v>-100</v>
      </c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/>
      <c r="D41" s="54"/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1166</v>
      </c>
      <c r="D42" s="55">
        <f>SUM(D34:D41)</f>
        <v>592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-40</v>
      </c>
      <c r="D43" s="55">
        <f>D42+D32+D20</f>
        <v>420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139</v>
      </c>
      <c r="D44" s="132">
        <v>105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99</v>
      </c>
      <c r="D45" s="55">
        <f>D44+D43</f>
        <v>525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99</v>
      </c>
      <c r="D46" s="56">
        <v>525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869</v>
      </c>
      <c r="C50" s="318" t="s">
        <v>870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80" zoomScaleNormal="80" zoomScalePageLayoutView="0" workbookViewId="0" topLeftCell="A1">
      <selection activeCell="O43" sqref="O4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1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 t="str">
        <f>'справка №1-БАЛАНС'!E5</f>
        <v>30.06.2017 г.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4691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</v>
      </c>
      <c r="J11" s="58">
        <f>'справка №1-БАЛАНС'!H29+'справка №1-БАЛАНС'!H32</f>
        <v>0</v>
      </c>
      <c r="K11" s="60"/>
      <c r="L11" s="344">
        <f>SUM(C11:K11)</f>
        <v>42934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4691</v>
      </c>
      <c r="G15" s="61">
        <f t="shared" si="2"/>
        <v>0</v>
      </c>
      <c r="H15" s="61">
        <f t="shared" si="2"/>
        <v>0</v>
      </c>
      <c r="I15" s="61">
        <f t="shared" si="2"/>
        <v>11</v>
      </c>
      <c r="J15" s="61">
        <f t="shared" si="2"/>
        <v>0</v>
      </c>
      <c r="K15" s="61">
        <f t="shared" si="2"/>
        <v>0</v>
      </c>
      <c r="L15" s="344">
        <f t="shared" si="1"/>
        <v>42934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9</v>
      </c>
      <c r="J16" s="345">
        <f>+'справка №1-БАЛАНС'!G32</f>
        <v>0</v>
      </c>
      <c r="K16" s="60"/>
      <c r="L16" s="344">
        <f t="shared" si="1"/>
        <v>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11</v>
      </c>
      <c r="G17" s="62">
        <f t="shared" si="3"/>
        <v>0</v>
      </c>
      <c r="H17" s="62">
        <f t="shared" si="3"/>
        <v>0</v>
      </c>
      <c r="I17" s="62">
        <f t="shared" si="3"/>
        <v>-11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>
        <v>11</v>
      </c>
      <c r="G19" s="60"/>
      <c r="H19" s="60"/>
      <c r="I19" s="60">
        <v>-11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4702</v>
      </c>
      <c r="G29" s="59">
        <f t="shared" si="6"/>
        <v>0</v>
      </c>
      <c r="H29" s="59">
        <f t="shared" si="6"/>
        <v>0</v>
      </c>
      <c r="I29" s="59">
        <f t="shared" si="6"/>
        <v>9</v>
      </c>
      <c r="J29" s="59">
        <f t="shared" si="6"/>
        <v>0</v>
      </c>
      <c r="K29" s="59">
        <f t="shared" si="6"/>
        <v>0</v>
      </c>
      <c r="L29" s="344">
        <f t="shared" si="1"/>
        <v>42943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4702</v>
      </c>
      <c r="G32" s="59">
        <f t="shared" si="7"/>
        <v>0</v>
      </c>
      <c r="H32" s="59">
        <f t="shared" si="7"/>
        <v>0</v>
      </c>
      <c r="I32" s="59">
        <f t="shared" si="7"/>
        <v>9</v>
      </c>
      <c r="J32" s="59">
        <f t="shared" si="7"/>
        <v>0</v>
      </c>
      <c r="K32" s="59">
        <f t="shared" si="7"/>
        <v>0</v>
      </c>
      <c r="L32" s="344">
        <f t="shared" si="1"/>
        <v>42943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872</v>
      </c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38"/>
      <c r="E38" s="538" t="s">
        <v>871</v>
      </c>
      <c r="F38" s="578"/>
      <c r="G38" s="578"/>
      <c r="H38" s="578"/>
      <c r="I38" s="578"/>
      <c r="J38" s="538"/>
      <c r="K38" s="538" t="s">
        <v>866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M16" sqref="M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bestFit="1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1" t="s">
        <v>6</v>
      </c>
      <c r="B3" s="592"/>
      <c r="C3" s="593" t="str">
        <f>'справка №1-БАЛАНС'!E5</f>
        <v>30.06.2017 г.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8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34</v>
      </c>
      <c r="L9" s="65"/>
      <c r="M9" s="65"/>
      <c r="N9" s="74">
        <f>K9+L9-M9</f>
        <v>34</v>
      </c>
      <c r="O9" s="65"/>
      <c r="P9" s="65"/>
      <c r="Q9" s="74">
        <f aca="true" t="shared" si="0" ref="Q9:Q15">N9+O9-P9</f>
        <v>34</v>
      </c>
      <c r="R9" s="74">
        <f aca="true" t="shared" si="1" ref="R9:R15">J9-Q9</f>
        <v>655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11660</v>
      </c>
      <c r="E10" s="189">
        <v>0</v>
      </c>
      <c r="F10" s="189">
        <v>0</v>
      </c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1486</v>
      </c>
      <c r="L10" s="65">
        <v>51</v>
      </c>
      <c r="M10" s="65"/>
      <c r="N10" s="74">
        <f aca="true" t="shared" si="4" ref="N10:N39">K10+L10-M10</f>
        <v>1537</v>
      </c>
      <c r="O10" s="65"/>
      <c r="P10" s="65"/>
      <c r="Q10" s="74">
        <f t="shared" si="0"/>
        <v>1537</v>
      </c>
      <c r="R10" s="74">
        <f t="shared" si="1"/>
        <v>10123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30493</v>
      </c>
      <c r="E11" s="189">
        <v>0</v>
      </c>
      <c r="F11" s="189">
        <v>0</v>
      </c>
      <c r="G11" s="74">
        <f t="shared" si="2"/>
        <v>30493</v>
      </c>
      <c r="H11" s="65"/>
      <c r="I11" s="65"/>
      <c r="J11" s="74">
        <f t="shared" si="3"/>
        <v>30493</v>
      </c>
      <c r="K11" s="65">
        <v>4378</v>
      </c>
      <c r="L11" s="65">
        <v>132</v>
      </c>
      <c r="M11" s="65"/>
      <c r="N11" s="74">
        <f t="shared" si="4"/>
        <v>4510</v>
      </c>
      <c r="O11" s="65"/>
      <c r="P11" s="65"/>
      <c r="Q11" s="74">
        <f t="shared" si="0"/>
        <v>4510</v>
      </c>
      <c r="R11" s="74">
        <f t="shared" si="1"/>
        <v>25983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1030</v>
      </c>
      <c r="E12" s="189">
        <v>2</v>
      </c>
      <c r="F12" s="189">
        <v>0</v>
      </c>
      <c r="G12" s="74">
        <f t="shared" si="2"/>
        <v>1032</v>
      </c>
      <c r="H12" s="65"/>
      <c r="I12" s="65"/>
      <c r="J12" s="74">
        <f t="shared" si="3"/>
        <v>1032</v>
      </c>
      <c r="K12" s="65">
        <v>581</v>
      </c>
      <c r="L12" s="65">
        <v>13</v>
      </c>
      <c r="M12" s="65"/>
      <c r="N12" s="74">
        <f t="shared" si="4"/>
        <v>594</v>
      </c>
      <c r="O12" s="65"/>
      <c r="P12" s="65"/>
      <c r="Q12" s="74">
        <f t="shared" si="0"/>
        <v>594</v>
      </c>
      <c r="R12" s="74">
        <f t="shared" si="1"/>
        <v>438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210</v>
      </c>
      <c r="E13" s="189">
        <v>0</v>
      </c>
      <c r="F13" s="189">
        <v>6</v>
      </c>
      <c r="G13" s="74">
        <f t="shared" si="2"/>
        <v>204</v>
      </c>
      <c r="H13" s="65"/>
      <c r="I13" s="65"/>
      <c r="J13" s="74">
        <f t="shared" si="3"/>
        <v>204</v>
      </c>
      <c r="K13" s="65">
        <v>146</v>
      </c>
      <c r="L13" s="65">
        <v>2</v>
      </c>
      <c r="M13" s="65">
        <v>6</v>
      </c>
      <c r="N13" s="74">
        <f t="shared" si="4"/>
        <v>142</v>
      </c>
      <c r="O13" s="65"/>
      <c r="P13" s="65"/>
      <c r="Q13" s="74">
        <f t="shared" si="0"/>
        <v>142</v>
      </c>
      <c r="R13" s="74">
        <f t="shared" si="1"/>
        <v>62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79</v>
      </c>
      <c r="E14" s="189">
        <v>0</v>
      </c>
      <c r="F14" s="189">
        <v>0</v>
      </c>
      <c r="G14" s="74">
        <f t="shared" si="2"/>
        <v>79</v>
      </c>
      <c r="H14" s="65"/>
      <c r="I14" s="65"/>
      <c r="J14" s="74">
        <f t="shared" si="3"/>
        <v>79</v>
      </c>
      <c r="K14" s="65">
        <v>76</v>
      </c>
      <c r="L14" s="65">
        <v>1</v>
      </c>
      <c r="M14" s="65"/>
      <c r="N14" s="74">
        <f t="shared" si="4"/>
        <v>77</v>
      </c>
      <c r="O14" s="65"/>
      <c r="P14" s="65"/>
      <c r="Q14" s="74">
        <f t="shared" si="0"/>
        <v>77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2887</v>
      </c>
      <c r="E15" s="457">
        <v>471</v>
      </c>
      <c r="F15" s="457">
        <v>0</v>
      </c>
      <c r="G15" s="74">
        <f t="shared" si="2"/>
        <v>3358</v>
      </c>
      <c r="H15" s="458"/>
      <c r="I15" s="458"/>
      <c r="J15" s="74">
        <f t="shared" si="3"/>
        <v>3358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3358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</v>
      </c>
      <c r="E16" s="189">
        <v>0</v>
      </c>
      <c r="F16" s="189">
        <v>0</v>
      </c>
      <c r="G16" s="74">
        <f t="shared" si="2"/>
        <v>4</v>
      </c>
      <c r="H16" s="65"/>
      <c r="I16" s="65"/>
      <c r="J16" s="74">
        <f t="shared" si="3"/>
        <v>4</v>
      </c>
      <c r="K16" s="65">
        <v>3</v>
      </c>
      <c r="L16" s="65">
        <v>1</v>
      </c>
      <c r="M16" s="65"/>
      <c r="N16" s="74">
        <f t="shared" si="4"/>
        <v>4</v>
      </c>
      <c r="O16" s="65"/>
      <c r="P16" s="65"/>
      <c r="Q16" s="74">
        <f aca="true" t="shared" si="5" ref="Q16:Q25">N16+O16-P16</f>
        <v>4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47052</v>
      </c>
      <c r="E17" s="194">
        <f>SUM(E9:E16)</f>
        <v>473</v>
      </c>
      <c r="F17" s="194">
        <f>SUM(F9:F16)</f>
        <v>6</v>
      </c>
      <c r="G17" s="74">
        <f t="shared" si="2"/>
        <v>47519</v>
      </c>
      <c r="H17" s="75">
        <f>SUM(H9:H16)</f>
        <v>0</v>
      </c>
      <c r="I17" s="75">
        <f>SUM(I9:I16)</f>
        <v>0</v>
      </c>
      <c r="J17" s="74">
        <f t="shared" si="3"/>
        <v>47519</v>
      </c>
      <c r="K17" s="75">
        <f>SUM(K9:K16)</f>
        <v>6704</v>
      </c>
      <c r="L17" s="75">
        <f>SUM(L9:L16)</f>
        <v>200</v>
      </c>
      <c r="M17" s="75">
        <f>SUM(M9:M16)</f>
        <v>6</v>
      </c>
      <c r="N17" s="74">
        <f t="shared" si="4"/>
        <v>6898</v>
      </c>
      <c r="O17" s="75">
        <f>SUM(O9:O16)</f>
        <v>0</v>
      </c>
      <c r="P17" s="75">
        <f>SUM(P9:P16)</f>
        <v>0</v>
      </c>
      <c r="Q17" s="74">
        <f t="shared" si="5"/>
        <v>6898</v>
      </c>
      <c r="R17" s="74">
        <f t="shared" si="6"/>
        <v>40621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47062</v>
      </c>
      <c r="E40" s="438">
        <f>E17+E18+E19+E25+E38+E39</f>
        <v>473</v>
      </c>
      <c r="F40" s="438">
        <f aca="true" t="shared" si="13" ref="F40:R40">F17+F18+F19+F25+F38+F39</f>
        <v>6</v>
      </c>
      <c r="G40" s="438">
        <f t="shared" si="13"/>
        <v>47529</v>
      </c>
      <c r="H40" s="438">
        <f t="shared" si="13"/>
        <v>0</v>
      </c>
      <c r="I40" s="438">
        <f t="shared" si="13"/>
        <v>0</v>
      </c>
      <c r="J40" s="438">
        <f t="shared" si="13"/>
        <v>47529</v>
      </c>
      <c r="K40" s="438">
        <f t="shared" si="13"/>
        <v>6713</v>
      </c>
      <c r="L40" s="438">
        <f t="shared" si="13"/>
        <v>200</v>
      </c>
      <c r="M40" s="438">
        <f t="shared" si="13"/>
        <v>6</v>
      </c>
      <c r="N40" s="438">
        <f t="shared" si="13"/>
        <v>6907</v>
      </c>
      <c r="O40" s="438">
        <f t="shared" si="13"/>
        <v>0</v>
      </c>
      <c r="P40" s="438">
        <f t="shared" si="13"/>
        <v>0</v>
      </c>
      <c r="Q40" s="438">
        <f t="shared" si="13"/>
        <v>6907</v>
      </c>
      <c r="R40" s="438">
        <f t="shared" si="13"/>
        <v>40622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873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871</v>
      </c>
      <c r="L45" s="349"/>
      <c r="M45" s="349"/>
      <c r="N45" s="349"/>
      <c r="O45" s="349"/>
      <c r="P45" s="318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10" t="str">
        <f>'справка №1-БАЛАНС'!E5</f>
        <v>30.06.2017 г.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2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438</v>
      </c>
      <c r="D24" s="119">
        <f>SUM(D25:D27)</f>
        <v>438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438</v>
      </c>
      <c r="D26" s="108">
        <v>438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2233</v>
      </c>
      <c r="D28" s="108">
        <v>2233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380</v>
      </c>
      <c r="D29" s="108">
        <v>380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26</v>
      </c>
      <c r="D33" s="105">
        <f>SUM(D34:D37)</f>
        <v>26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10</v>
      </c>
      <c r="D34" s="108">
        <v>10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/>
      <c r="D35" s="108"/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>
        <v>16</v>
      </c>
      <c r="D37" s="108">
        <v>16</v>
      </c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116</v>
      </c>
      <c r="D38" s="105">
        <f>SUM(D39:D42)</f>
        <v>116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116</v>
      </c>
      <c r="D42" s="108">
        <v>116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3193</v>
      </c>
      <c r="D43" s="104">
        <f>D24+D28+D29+D31+D30+D32+D33+D38</f>
        <v>3193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3193</v>
      </c>
      <c r="D44" s="103">
        <f>D43+D21+D19+D9</f>
        <v>3193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2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24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2951</v>
      </c>
      <c r="D68" s="108"/>
      <c r="E68" s="119">
        <f t="shared" si="1"/>
        <v>2951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24">
      <c r="A71" s="396" t="s">
        <v>697</v>
      </c>
      <c r="B71" s="397" t="s">
        <v>727</v>
      </c>
      <c r="C71" s="105">
        <f>SUM(C72:C74)</f>
        <v>153</v>
      </c>
      <c r="D71" s="105">
        <f>SUM(D72:D74)</f>
        <v>153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>
        <v>153</v>
      </c>
      <c r="D72" s="108">
        <v>153</v>
      </c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5514</v>
      </c>
      <c r="D75" s="103">
        <f>D76+D78</f>
        <v>5514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5514</v>
      </c>
      <c r="D76" s="108">
        <v>5514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1060</v>
      </c>
      <c r="D85" s="104">
        <f>SUM(D86:D90)+D94</f>
        <v>1060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444</v>
      </c>
      <c r="D87" s="108">
        <v>444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477</v>
      </c>
      <c r="D88" s="108">
        <v>477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105</v>
      </c>
      <c r="D89" s="108">
        <v>105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/>
      <c r="D92" s="108"/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12</v>
      </c>
      <c r="D93" s="108">
        <v>12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22</v>
      </c>
      <c r="D94" s="108">
        <v>22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22</v>
      </c>
      <c r="D95" s="108">
        <v>22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6749</v>
      </c>
      <c r="D96" s="104">
        <f>D85+D80+D75+D71+D95</f>
        <v>6749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9700</v>
      </c>
      <c r="D97" s="104">
        <f>D96+D68+D66</f>
        <v>6749</v>
      </c>
      <c r="E97" s="104">
        <f>E96+E68+E66</f>
        <v>2951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884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875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N55" sqref="N55"/>
    </sheetView>
  </sheetViews>
  <sheetFormatPr defaultColWidth="10.75390625" defaultRowHeight="12.75"/>
  <cols>
    <col min="1" max="1" width="52.75390625" style="107" customWidth="1"/>
    <col min="2" max="2" width="11.125" style="524" bestFit="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5">
      <c r="A5" s="501" t="s">
        <v>6</v>
      </c>
      <c r="B5" s="615" t="str">
        <f>'справка №1-БАЛАНС'!E5</f>
        <v>30.06.2017 г.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2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883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871</v>
      </c>
      <c r="F31" s="523"/>
      <c r="G31" s="523"/>
      <c r="H31" s="523"/>
      <c r="I31" s="318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6">
      <selection activeCell="L176" sqref="L176"/>
    </sheetView>
  </sheetViews>
  <sheetFormatPr defaultColWidth="10.75390625" defaultRowHeight="12.75"/>
  <cols>
    <col min="1" max="1" width="35.25390625" style="509" customWidth="1"/>
    <col min="2" max="2" width="12.125" style="519" customWidth="1"/>
    <col min="3" max="3" width="13.75390625" style="509" customWidth="1"/>
    <col min="4" max="4" width="16.25390625" style="509" customWidth="1"/>
    <col min="5" max="5" width="21.75390625" style="509" customWidth="1"/>
    <col min="6" max="6" width="15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 t="str">
        <f>'справка №1-БАЛАНС'!E5</f>
        <v>30.06.2017 г.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877</v>
      </c>
      <c r="B63" s="40"/>
      <c r="C63" s="441">
        <v>1</v>
      </c>
      <c r="D63" s="441">
        <v>2</v>
      </c>
      <c r="E63" s="441"/>
      <c r="F63" s="443">
        <f>C63-E63</f>
        <v>1</v>
      </c>
    </row>
    <row r="64" spans="1:6" ht="12.75">
      <c r="A64" s="36">
        <v>2</v>
      </c>
      <c r="B64" s="40"/>
      <c r="C64" s="441"/>
      <c r="D64" s="441"/>
      <c r="E64" s="441"/>
      <c r="F64" s="443">
        <f>C64-E64</f>
        <v>0</v>
      </c>
    </row>
    <row r="65" spans="1:6" ht="12.75">
      <c r="A65" s="36" t="s">
        <v>555</v>
      </c>
      <c r="B65" s="40"/>
      <c r="C65" s="441"/>
      <c r="D65" s="441"/>
      <c r="E65" s="441"/>
      <c r="F65" s="443">
        <f aca="true" t="shared" si="3" ref="F65:F77">C65-E65</f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885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871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874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Tania Zvetkova</cp:lastModifiedBy>
  <cp:lastPrinted>2017-07-31T06:32:17Z</cp:lastPrinted>
  <dcterms:created xsi:type="dcterms:W3CDTF">2000-06-29T12:02:40Z</dcterms:created>
  <dcterms:modified xsi:type="dcterms:W3CDTF">2017-07-31T06:34:23Z</dcterms:modified>
  <cp:category/>
  <cp:version/>
  <cp:contentType/>
  <cp:contentStatus/>
</cp:coreProperties>
</file>