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<sst xmlns="http://schemas.openxmlformats.org/spreadsheetml/2006/main" count="1067" uniqueCount="893">
  <si>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</si>
  <si>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</si>
  <si>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</si>
  <si>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</si>
  <si>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</si>
  <si>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</si>
  <si>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</si>
  <si>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</si>
  <si>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</si>
  <si>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</si>
  <si>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</si>
  <si>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</si>
  <si>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</si>
  <si>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</si>
  <si>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</si>
  <si>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</si>
  <si>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</si>
  <si>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</si>
  <si>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</si>
  <si>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</si>
  <si>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</si>
  <si>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</si>
  <si>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</si>
  <si>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</si>
  <si>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</si>
  <si>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</si>
  <si>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</si>
  <si>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</si>
  <si>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</si>
  <si>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</si>
  <si>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</si>
  <si>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</si>
  <si>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</si>
  <si>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</si>
  <si>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</si>
  <si>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</si>
  <si>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</si>
  <si>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</si>
  <si>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</si>
  <si>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</si>
  <si>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</si>
  <si>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</si>
  <si>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</si>
  <si>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</si>
  <si>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</si>
  <si>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</si>
  <si>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</si>
  <si>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</si>
  <si>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</si>
  <si>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</si>
  <si>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</si>
  <si>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</si>
  <si>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</si>
  <si>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</si>
  <si>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</si>
  <si>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</si>
  <si>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</si>
  <si>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</si>
  <si>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</si>
  <si>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</si>
  <si>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</si>
  <si>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</si>
  <si>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</si>
  <si>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</si>
  <si>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</si>
  <si>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</si>
  <si>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</si>
  <si>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</si>
  <si>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</si>
  <si>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</si>
  <si>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</si>
  <si>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</si>
  <si>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</si>
  <si>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</si>
  <si>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</si>
  <si>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</si>
  <si>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</si>
  <si>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</si>
  <si>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</si>
  <si>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</si>
  <si>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</si>
  <si>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</si>
  <si>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</si>
  <si>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</si>
  <si>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</si>
  <si>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</si>
  <si>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</si>
  <si>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</si>
  <si>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</si>
  <si>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</si>
  <si>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</si>
  <si>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</si>
  <si>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</si>
  <si>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</si>
  <si>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</si>
  <si>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</si>
  <si>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</si>
  <si>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</si>
  <si>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</si>
  <si>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</si>
  <si>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</si>
  <si>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</si>
  <si>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</si>
  <si>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</si>
  <si>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</si>
  <si>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</si>
  <si>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</si>
  <si>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</si>
  <si>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</si>
  <si>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</si>
  <si>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</si>
  <si>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</si>
  <si>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</si>
  <si>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</si>
  <si>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</si>
  <si>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</si>
  <si>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</si>
  <si>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</si>
  <si>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</si>
  <si>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</si>
  <si>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</si>
  <si>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</si>
  <si>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</si>
  <si>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</si>
  <si>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</si>
  <si>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</si>
  <si>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</si>
  <si>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</si>
  <si>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</si>
  <si>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</si>
  <si>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</si>
  <si>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</si>
  <si>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</si>
  <si>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</si>
  <si>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</si>
  <si>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</si>
  <si>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</si>
  <si>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</si>
  <si>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</si>
  <si>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</si>
  <si>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</si>
  <si>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</si>
  <si>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</si>
  <si>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</si>
  <si>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</si>
  <si>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</si>
  <si>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</si>
  <si>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</si>
  <si>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</si>
  <si>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</si>
  <si>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</si>
  <si>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</si>
  <si>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</si>
  <si>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</si>
  <si>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</si>
  <si>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</si>
  <si>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</si>
  <si>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</si>
  <si>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</si>
  <si>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</si>
  <si>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</si>
  <si>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</si>
  <si>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</si>
  <si>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</si>
  <si>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</si>
  <si>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</si>
  <si>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</si>
  <si>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</si>
  <si>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</si>
  <si>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</si>
  <si>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</si>
  <si>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</si>
  <si>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</si>
  <si>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</si>
  <si>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</si>
  <si>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</si>
  <si>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</si>
  <si>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</si>
  <si>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</si>
  <si>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</si>
  <si>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</si>
  <si>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</si>
  <si>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</si>
  <si>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</si>
  <si>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</si>
  <si>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</si>
  <si>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</si>
  <si>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</si>
  <si>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</si>
  <si>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</si>
  <si>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</si>
  <si>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</si>
  <si>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</si>
  <si>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</si>
  <si>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</si>
  <si>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</si>
  <si>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</si>
  <si>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</si>
  <si>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</si>
  <si>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</si>
  <si>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</si>
  <si>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</si>
  <si>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</si>
  <si>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</si>
  <si>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</si>
  <si>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</si>
  <si>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</si>
  <si>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</si>
  <si>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</si>
  <si>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</si>
  <si>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</si>
  <si>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</si>
  <si>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</si>
  <si>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</si>
  <si>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</si>
  <si>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</si>
  <si>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</si>
  <si>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</si>
  <si>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</si>
  <si>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</si>
  <si>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</si>
  <si>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</si>
  <si>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</si>
  <si>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</si>
  <si>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</si>
  <si>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</si>
  <si>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</si>
  <si>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</si>
  <si>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</si>
  <si>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</si>
  <si>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</si>
  <si>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</si>
  <si>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</si>
  <si>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</si>
  <si>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</si>
  <si>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</si>
  <si>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</si>
  <si>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</si>
  <si>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</si>
  <si>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</si>
  <si>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</si>
  <si>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</si>
  <si>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</si>
  <si>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</si>
  <si>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</si>
  <si>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</si>
  <si>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</si>
  <si>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</si>
  <si>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</si>
  <si>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</si>
  <si>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</si>
  <si>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</si>
  <si>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</si>
  <si>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</si>
  <si>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</si>
  <si>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</si>
  <si>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</si>
  <si>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</si>
  <si>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</si>
  <si>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</si>
  <si>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</si>
  <si>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</si>
  <si>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</si>
  <si>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</si>
  <si>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</si>
  <si>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</si>
  <si>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</si>
  <si>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</si>
  <si>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</si>
  <si>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</si>
  <si>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</si>
  <si>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</si>
  <si>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</si>
  <si>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</si>
  <si>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</si>
  <si>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</si>
  <si>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</si>
  <si>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</si>
  <si>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</si>
  <si>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</si>
  <si>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</si>
  <si>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</si>
  <si>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</si>
  <si>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</si>
  <si>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</si>
  <si>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</si>
  <si>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</si>
  <si>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</si>
  <si>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</si>
  <si>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</si>
  <si>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</si>
  <si>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</si>
  <si>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</si>
  <si>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</si>
  <si>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</si>
  <si>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</si>
  <si>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</si>
  <si>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</si>
  <si>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</si>
  <si>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</si>
  <si>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</si>
  <si>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</si>
  <si>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</si>
  <si>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</si>
  <si>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</si>
  <si>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</si>
  <si>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</si>
  <si>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</si>
  <si>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</si>
  <si>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</si>
  <si>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</si>
  <si>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</si>
  <si>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</si>
  <si>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</si>
  <si>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</si>
  <si>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</si>
  <si>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</si>
  <si>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</si>
  <si>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</si>
  <si>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</si>
  <si>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</si>
  <si>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</si>
  <si>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</si>
  <si>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</si>
  <si>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</si>
  <si>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</si>
  <si>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</si>
  <si>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</si>
  <si>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</si>
  <si>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</si>
  <si>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</si>
  <si>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</si>
  <si>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</si>
  <si>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</si>
  <si>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</si>
  <si>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</si>
  <si>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</si>
  <si>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</si>
  <si>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</si>
  <si>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</si>
  <si>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</si>
  <si>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</si>
  <si>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</si>
  <si>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</si>
  <si>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</si>
  <si>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</si>
  <si>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</si>
  <si>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</si>
  <si>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</si>
  <si>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</si>
  <si>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</si>
  <si>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</si>
  <si>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</si>
  <si>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</si>
  <si>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</si>
  <si>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</si>
  <si>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</si>
  <si>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</si>
  <si>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</si>
  <si>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</si>
  <si>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</si>
  <si>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</si>
  <si>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</si>
  <si>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</si>
  <si>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</si>
  <si>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</si>
  <si>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</si>
  <si>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</si>
  <si>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</si>
  <si>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</si>
  <si>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</si>
  <si>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</si>
  <si>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</si>
  <si>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</si>
  <si>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</si>
  <si>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</si>
  <si>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</si>
  <si>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</si>
  <si>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</si>
  <si>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</si>
  <si>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</si>
  <si>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</si>
  <si>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</si>
  <si>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</si>
  <si>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</si>
  <si>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</si>
  <si>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</si>
  <si>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</si>
  <si>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</si>
  <si>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</si>
  <si>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</si>
  <si>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</si>
  <si>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</si>
  <si>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</si>
  <si>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</si>
  <si>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</si>
  <si>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</si>
  <si>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</si>
  <si>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</si>
  <si>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</si>
  <si>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</si>
  <si>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</si>
  <si>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</si>
  <si>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</si>
  <si>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</si>
  <si>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</si>
  <si>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</si>
  <si>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</si>
  <si>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</si>
  <si>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</si>
  <si>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</si>
  <si>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</si>
  <si>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</si>
  <si>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</si>
  <si>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</si>
  <si>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</si>
  <si>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</si>
  <si>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</si>
  <si>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</si>
  <si>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</si>
  <si>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</si>
  <si>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</si>
  <si>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</si>
  <si>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</si>
  <si>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</si>
  <si>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</si>
  <si>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</si>
  <si>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</si>
  <si>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</si>
  <si>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</si>
  <si>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</si>
  <si>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</si>
  <si>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</si>
  <si>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</si>
  <si>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</si>
  <si>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</si>
  <si>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</si>
  <si>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</si>
  <si>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</si>
  <si>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</si>
  <si>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</si>
  <si>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</si>
  <si>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</si>
  <si>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</si>
  <si>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</si>
  <si>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</si>
  <si>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</si>
  <si>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</si>
  <si>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</si>
  <si>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</si>
  <si>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</si>
  <si>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</si>
  <si>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</si>
  <si>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</si>
  <si>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</si>
  <si>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</si>
  <si>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</si>
  <si>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</si>
  <si>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</si>
  <si>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</si>
  <si>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</si>
  <si>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</si>
  <si>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</si>
  <si>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</si>
  <si>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</si>
  <si>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</si>
  <si>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</si>
  <si>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</si>
  <si>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</si>
  <si>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</si>
  <si>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</si>
  <si>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</si>
  <si>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</si>
  <si>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</si>
  <si>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</si>
  <si>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</si>
  <si>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</si>
  <si>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</si>
  <si>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</si>
  <si>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</si>
  <si>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</si>
  <si>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</si>
  <si>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</si>
  <si>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</si>
  <si>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</si>
  <si>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</si>
  <si>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</si>
  <si>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</si>
  <si>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</si>
  <si>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</si>
  <si>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</si>
  <si>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</si>
  <si>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</si>
  <si>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</si>
  <si>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</si>
  <si>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</si>
  <si>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</si>
  <si>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</si>
  <si>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</si>
  <si>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</si>
  <si>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</si>
  <si>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</si>
  <si>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</si>
  <si>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</si>
  <si>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</si>
  <si>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</si>
  <si>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</si>
  <si>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</si>
  <si>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</si>
  <si>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</si>
  <si>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</si>
  <si>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</si>
  <si>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</si>
  <si>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</si>
  <si>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</si>
  <si>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</si>
  <si>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</si>
  <si>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</si>
  <si>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</si>
  <si>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</si>
  <si>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</si>
  <si>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</si>
  <si>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</si>
  <si>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</si>
  <si>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</si>
  <si>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</si>
  <si>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</si>
  <si>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</si>
  <si>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</si>
  <si>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</si>
  <si>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</si>
  <si>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</si>
  <si>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</si>
  <si>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</si>
  <si>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</si>
  <si>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</si>
  <si>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</si>
  <si>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</si>
  <si>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</si>
  <si>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</si>
  <si>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</si>
  <si>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</si>
  <si>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</si>
  <si>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</si>
  <si>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</si>
  <si>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</si>
  <si>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</si>
  <si>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</si>
  <si>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</si>
  <si>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</si>
  <si>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</si>
  <si>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</si>
  <si>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</si>
  <si>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</si>
  <si>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</si>
  <si>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</si>
  <si>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</si>
  <si>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</si>
  <si>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</si>
  <si>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</si>
  <si>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</si>
  <si>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</si>
  <si>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</si>
  <si>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</si>
  <si>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</si>
  <si>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</si>
  <si>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</si>
  <si>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</si>
  <si>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</si>
  <si>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</si>
  <si>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</si>
  <si>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</si>
  <si>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</si>
  <si>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</si>
  <si>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</si>
  <si>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</si>
  <si>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</si>
  <si>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</si>
  <si>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</si>
  <si>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</si>
  <si>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</si>
  <si>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</si>
  <si>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</si>
  <si>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</si>
  <si>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</si>
  <si>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</si>
  <si>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</si>
  <si>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</si>
  <si>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</si>
  <si>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</si>
  <si>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</si>
  <si>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</si>
  <si>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</si>
  <si>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</si>
  <si>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</si>
  <si>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</si>
  <si>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</si>
  <si>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</si>
  <si>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</si>
  <si>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</si>
  <si>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</si>
  <si>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</si>
  <si>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</si>
  <si>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</si>
  <si>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</si>
  <si>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</si>
  <si>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</si>
  <si>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</si>
  <si>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</si>
  <si>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</si>
  <si>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</si>
  <si>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</si>
  <si>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</si>
  <si>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</si>
  <si>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</si>
  <si>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</si>
  <si>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</si>
  <si>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</si>
  <si>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</si>
  <si>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</si>
  <si>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</si>
  <si>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</si>
  <si>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</si>
  <si>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</si>
  <si>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</si>
  <si>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</si>
  <si>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</si>
  <si>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</si>
  <si>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</si>
  <si>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</si>
  <si>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</si>
  <si>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</si>
  <si>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</si>
  <si>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</si>
  <si>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</si>
  <si>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</si>
  <si>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</si>
  <si>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</si>
  <si>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</si>
  <si>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</si>
  <si>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</si>
  <si>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</si>
  <si>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</si>
  <si>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</si>
  <si>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</si>
  <si>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</si>
  <si>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</si>
  <si>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</si>
  <si>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</si>
  <si>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</si>
  <si>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</si>
  <si>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</si>
  <si>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</si>
  <si>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</si>
  <si>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</si>
  <si>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</si>
  <si>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</si>
  <si>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</si>
  <si>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</si>
  <si>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</si>
  <si>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</si>
  <si>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</si>
  <si>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</si>
  <si>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</si>
  <si>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</si>
  <si>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</si>
  <si>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</si>
  <si>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</si>
  <si>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</si>
  <si>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</si>
  <si>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</si>
  <si>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</si>
  <si>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</si>
  <si>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</si>
  <si>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</si>
  <si>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</si>
  <si>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</si>
  <si>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</si>
  <si>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</si>
  <si>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</si>
  <si>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</si>
  <si>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</si>
  <si>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</si>
  <si>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</si>
  <si>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</si>
  <si>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</si>
  <si>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</si>
  <si>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</si>
  <si>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</si>
  <si>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</si>
  <si>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</si>
  <si>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</si>
  <si>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</si>
  <si>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</si>
  <si>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</si>
  <si>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</si>
  <si>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</si>
  <si>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</si>
  <si>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</si>
  <si>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</si>
  <si>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</si>
  <si>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</si>
  <si>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</si>
  <si>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</si>
  <si>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</si>
  <si>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</si>
  <si>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</si>
  <si>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</si>
  <si>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</si>
  <si>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</si>
  <si>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</si>
  <si>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</si>
  <si>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</si>
  <si>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</si>
  <si>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</si>
  <si>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</si>
  <si>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</si>
  <si>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</si>
  <si>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</si>
  <si>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</si>
  <si>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</si>
  <si>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</si>
  <si>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</si>
  <si>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</si>
  <si>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</si>
  <si>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</si>
  <si>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</si>
  <si>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</si>
  <si>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</si>
  <si>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</si>
  <si>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</si>
  <si>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</si>
  <si>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</si>
  <si>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</si>
  <si>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</si>
  <si>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</si>
  <si>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</si>
  <si>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</si>
  <si>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</si>
  <si>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</si>
  <si>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</si>
  <si>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</si>
  <si>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</si>
  <si>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</si>
  <si>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</si>
  <si>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</si>
  <si>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</si>
  <si>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</si>
  <si>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</si>
  <si>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</si>
  <si>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</si>
  <si>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</si>
  <si>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</si>
  <si>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</si>
  <si>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</si>
  <si>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</si>
  <si>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</si>
  <si>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</si>
  <si>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</si>
  <si>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</si>
  <si>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</si>
  <si>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</si>
  <si>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</si>
  <si>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</si>
  <si>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</si>
  <si>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</si>
  <si>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</si>
  <si>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</si>
  <si>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</si>
  <si>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</si>
  <si>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</si>
  <si>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</si>
  <si>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</si>
  <si>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</si>
  <si>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</si>
  <si>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</si>
  <si>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</si>
  <si>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</si>
  <si>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</si>
  <si>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</si>
  <si>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</si>
  <si>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</si>
  <si>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</si>
  <si>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</si>
  <si>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</si>
  <si>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</si>
  <si>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</si>
  <si>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</si>
  <si>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</si>
  <si>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</si>
  <si>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</si>
  <si>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</si>
  <si>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</si>
  <si>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</si>
  <si>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</si>
  <si>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</si>
  <si>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</si>
  <si>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</si>
  <si>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</si>
  <si>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</si>
  <si>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</si>
  <si>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</si>
  <si>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</si>
  <si>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</si>
  <si>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</si>
  <si>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</si>
  <si>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</si>
  <si>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</si>
  <si>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</si>
  <si>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</si>
  <si>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</si>
  <si>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</si>
  <si>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</si>
  <si>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</si>
  <si>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</si>
  <si>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</si>
  <si>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</si>
  <si>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</si>
  <si>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</si>
  <si>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</si>
  <si>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</si>
  <si>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</si>
  <si>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</si>
  <si>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</si>
  <si>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</si>
  <si>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</si>
  <si>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</si>
  <si>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</si>
  <si>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</si>
  <si>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</si>
  <si>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</si>
  <si>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</si>
  <si>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</si>
  <si>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</si>
  <si>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</si>
  <si>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</si>
  <si>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</si>
  <si>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</si>
  <si>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</si>
  <si>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</si>
  <si>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</si>
  <si>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</si>
  <si>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</si>
  <si>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</si>
  <si>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</si>
  <si>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</si>
  <si>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</si>
  <si>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</si>
  <si>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</si>
  <si>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</si>
  <si>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</si>
  <si>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</si>
  <si>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</si>
  <si>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</si>
  <si>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</si>
  <si>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</si>
  <si>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</si>
  <si>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</si>
  <si>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</si>
  <si>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</si>
  <si>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</si>
  <si>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</si>
  <si>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</si>
  <si>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</si>
  <si>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</si>
  <si>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</si>
  <si>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</si>
  <si>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</si>
  <si>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</si>
  <si>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</si>
  <si>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</si>
  <si>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</si>
  <si>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</si>
  <si>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</si>
  <si>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</si>
  <si>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</si>
  <si>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</si>
  <si>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</si>
  <si>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</si>
  <si>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</si>
  <si>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</si>
  <si>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</si>
  <si>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</si>
  <si>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</si>
  <si>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</si>
  <si>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</si>
  <si>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</si>
  <si>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</si>
  <si>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01.01.2010-30.06.2010 година</t>
  </si>
  <si>
    <t>Дата на съставяне: 26.07.2010</t>
  </si>
  <si>
    <t xml:space="preserve">Дата на съставяне:         26.07.2010 </t>
  </si>
  <si>
    <t xml:space="preserve">Дата на съставяне:      26.07.2010                </t>
  </si>
  <si>
    <t xml:space="preserve">Дата  на съставяне:      26.07.2010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</si>
</sst>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186"/>
  <sheetViews>
    <sheetView zoomScalePageLayoutView="0" workbookViewId="0" topLeftCell="C67">
      <selection activeCell="E105" sqref="E10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1" t="s">
        <v>1</v>
      </c>
      <c r="B3" s="592"/>
      <c r="C3" s="592"/>
      <c r="D3" s="592"/>
      <c r="E3" s="462" t="s">
        <v>863</v>
      </c>
      <c r="F3" s="217" t="s">
        <v>2</v>
      </c>
      <c r="G3" s="172"/>
      <c r="H3" s="461" t="s">
        <v>865</v>
      </c>
    </row>
    <row r="4" spans="1:8" ht="15">
      <c r="A4" s="591" t="s">
        <v>3</v>
      </c>
      <c r="B4" s="597"/>
      <c r="C4" s="597"/>
      <c r="D4" s="597"/>
      <c r="E4" s="504" t="s">
        <v>864</v>
      </c>
      <c r="F4" s="593" t="s">
        <v>4</v>
      </c>
      <c r="G4" s="594"/>
      <c r="H4" s="461" t="s">
        <v>866</v>
      </c>
    </row>
    <row r="5" spans="1:8" ht="15">
      <c r="A5" s="591" t="s">
        <v>5</v>
      </c>
      <c r="B5" s="592"/>
      <c r="C5" s="592"/>
      <c r="D5" s="592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5733</v>
      </c>
      <c r="D11" s="151">
        <v>2819</v>
      </c>
      <c r="E11" s="237" t="s">
        <v>22</v>
      </c>
      <c r="F11" s="242" t="s">
        <v>23</v>
      </c>
      <c r="G11" s="152">
        <v>13037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12409</v>
      </c>
      <c r="D12" s="151">
        <v>9457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1487</v>
      </c>
      <c r="D13" s="151">
        <v>1674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4836</v>
      </c>
      <c r="D15" s="151">
        <v>5153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361</v>
      </c>
      <c r="D16" s="151">
        <v>367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5987</v>
      </c>
      <c r="D17" s="151">
        <v>5760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1175</v>
      </c>
      <c r="D18" s="151">
        <v>1281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31988</v>
      </c>
      <c r="D19" s="155">
        <f>SUM(D11:D18)</f>
        <v>26511</v>
      </c>
      <c r="E19" s="237" t="s">
        <v>53</v>
      </c>
      <c r="F19" s="242" t="s">
        <v>54</v>
      </c>
      <c r="G19" s="152">
        <v>30837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28457</v>
      </c>
      <c r="H21" s="156">
        <f>SUM(H22:H24)</f>
        <v>18619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17626</v>
      </c>
      <c r="H22" s="152">
        <v>17626</v>
      </c>
    </row>
    <row r="23" spans="1:13" ht="15">
      <c r="A23" s="235" t="s">
        <v>66</v>
      </c>
      <c r="B23" s="241" t="s">
        <v>67</v>
      </c>
      <c r="C23" s="151">
        <v>712</v>
      </c>
      <c r="D23" s="151">
        <v>733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121</v>
      </c>
      <c r="D24" s="151">
        <v>126</v>
      </c>
      <c r="E24" s="237" t="s">
        <v>72</v>
      </c>
      <c r="F24" s="242" t="s">
        <v>73</v>
      </c>
      <c r="G24" s="152">
        <v>10831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59294</v>
      </c>
      <c r="H25" s="154">
        <f>H19+H20+H21</f>
        <v>49456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833</v>
      </c>
      <c r="D27" s="155">
        <f>SUM(D23:D26)</f>
        <v>859</v>
      </c>
      <c r="E27" s="253" t="s">
        <v>83</v>
      </c>
      <c r="F27" s="242" t="s">
        <v>84</v>
      </c>
      <c r="G27" s="154">
        <f>SUM(G28:G30)</f>
        <v>11681</v>
      </c>
      <c r="H27" s="154">
        <f>SUM(H28:H30)</f>
        <v>1602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11681</v>
      </c>
      <c r="H28" s="152">
        <v>1602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2499.3</v>
      </c>
      <c r="H31" s="152">
        <v>9988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14180.3</v>
      </c>
      <c r="H33" s="154">
        <f>H27+H31+H32</f>
        <v>11590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19327</v>
      </c>
      <c r="D34" s="155">
        <f>SUM(D35:D38)</f>
        <v>18572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19076</v>
      </c>
      <c r="D35" s="151">
        <v>18321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86511.3</v>
      </c>
      <c r="H36" s="154">
        <f>H25+H17+H33</f>
        <v>72980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251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4782</v>
      </c>
      <c r="H44" s="152">
        <v>192</v>
      </c>
    </row>
    <row r="45" spans="1:15" ht="15">
      <c r="A45" s="235" t="s">
        <v>136</v>
      </c>
      <c r="B45" s="249" t="s">
        <v>137</v>
      </c>
      <c r="C45" s="155">
        <f>C34+C39+C44</f>
        <v>19327</v>
      </c>
      <c r="D45" s="155">
        <f>D34+D39+D44</f>
        <v>18572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18</v>
      </c>
      <c r="E47" s="251" t="s">
        <v>145</v>
      </c>
      <c r="F47" s="242" t="s">
        <v>146</v>
      </c>
      <c r="G47" s="152"/>
      <c r="H47" s="152">
        <v>2934</v>
      </c>
      <c r="M47" s="157"/>
    </row>
    <row r="48" spans="1:8" ht="15">
      <c r="A48" s="235" t="s">
        <v>147</v>
      </c>
      <c r="B48" s="244" t="s">
        <v>148</v>
      </c>
      <c r="C48" s="151">
        <v>2102</v>
      </c>
      <c r="D48" s="151">
        <v>2390</v>
      </c>
      <c r="E48" s="237" t="s">
        <v>149</v>
      </c>
      <c r="F48" s="242" t="s">
        <v>150</v>
      </c>
      <c r="G48" s="152">
        <v>1312</v>
      </c>
      <c r="H48" s="152">
        <v>1716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6094</v>
      </c>
      <c r="H49" s="154">
        <f>SUM(H43:H48)</f>
        <v>4842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12881</v>
      </c>
      <c r="D50" s="151">
        <v>7254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14983</v>
      </c>
      <c r="D51" s="155">
        <f>SUM(D47:D50)</f>
        <v>9662</v>
      </c>
      <c r="E51" s="251" t="s">
        <v>157</v>
      </c>
      <c r="F51" s="245" t="s">
        <v>158</v>
      </c>
      <c r="G51" s="152">
        <v>174</v>
      </c>
      <c r="H51" s="152">
        <v>174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980</v>
      </c>
      <c r="H53" s="152">
        <v>980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67131</v>
      </c>
      <c r="D55" s="155">
        <f>D19+D20+D21+D27+D32+D45+D51+D53+D54</f>
        <v>55604</v>
      </c>
      <c r="E55" s="237" t="s">
        <v>172</v>
      </c>
      <c r="F55" s="261" t="s">
        <v>173</v>
      </c>
      <c r="G55" s="154">
        <f>G49+G51+G52+G53+G54</f>
        <v>7248</v>
      </c>
      <c r="H55" s="154">
        <f>H49+H51+H52+H53+H54</f>
        <v>5996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12396</v>
      </c>
      <c r="D58" s="151">
        <v>12620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39213</v>
      </c>
      <c r="H59" s="152">
        <v>34488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877</v>
      </c>
      <c r="H60" s="152">
        <v>1002</v>
      </c>
    </row>
    <row r="61" spans="1:18" ht="15">
      <c r="A61" s="235" t="s">
        <v>187</v>
      </c>
      <c r="B61" s="244" t="s">
        <v>188</v>
      </c>
      <c r="C61" s="151"/>
      <c r="D61" s="151">
        <v>38</v>
      </c>
      <c r="E61" s="243" t="s">
        <v>189</v>
      </c>
      <c r="F61" s="272" t="s">
        <v>190</v>
      </c>
      <c r="G61" s="154">
        <f>SUM(G62:G68)</f>
        <v>31197.7</v>
      </c>
      <c r="H61" s="154">
        <f>SUM(H62:H68)</f>
        <v>28992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4765</v>
      </c>
      <c r="H62" s="152">
        <v>2109</v>
      </c>
    </row>
    <row r="63" spans="1:13" ht="15">
      <c r="A63" s="235" t="s">
        <v>195</v>
      </c>
      <c r="B63" s="241" t="s">
        <v>196</v>
      </c>
      <c r="C63" s="151">
        <v>84</v>
      </c>
      <c r="D63" s="151">
        <v>62</v>
      </c>
      <c r="E63" s="237" t="s">
        <v>197</v>
      </c>
      <c r="F63" s="242" t="s">
        <v>198</v>
      </c>
      <c r="G63" s="152">
        <v>3568</v>
      </c>
      <c r="H63" s="152">
        <v>3328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12480</v>
      </c>
      <c r="D64" s="155">
        <f>SUM(D58:D63)</f>
        <v>12720</v>
      </c>
      <c r="E64" s="237" t="s">
        <v>200</v>
      </c>
      <c r="F64" s="242" t="s">
        <v>201</v>
      </c>
      <c r="G64" s="152">
        <v>6084</v>
      </c>
      <c r="H64" s="152">
        <v>6280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14261</v>
      </c>
      <c r="H65" s="152">
        <v>14145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1092</v>
      </c>
      <c r="H66" s="152">
        <v>769</v>
      </c>
    </row>
    <row r="67" spans="1:8" ht="15">
      <c r="A67" s="235" t="s">
        <v>207</v>
      </c>
      <c r="B67" s="241" t="s">
        <v>208</v>
      </c>
      <c r="C67" s="151">
        <v>5761</v>
      </c>
      <c r="D67" s="151">
        <v>2024</v>
      </c>
      <c r="E67" s="237" t="s">
        <v>209</v>
      </c>
      <c r="F67" s="242" t="s">
        <v>210</v>
      </c>
      <c r="G67" s="152">
        <v>298</v>
      </c>
      <c r="H67" s="152">
        <v>272</v>
      </c>
    </row>
    <row r="68" spans="1:8" ht="15">
      <c r="A68" s="235" t="s">
        <v>211</v>
      </c>
      <c r="B68" s="241" t="s">
        <v>212</v>
      </c>
      <c r="C68" s="151">
        <v>58342</v>
      </c>
      <c r="D68" s="151">
        <v>54027</v>
      </c>
      <c r="E68" s="237" t="s">
        <v>213</v>
      </c>
      <c r="F68" s="242" t="s">
        <v>214</v>
      </c>
      <c r="G68" s="152">
        <v>1129.7</v>
      </c>
      <c r="H68" s="152">
        <v>2089</v>
      </c>
    </row>
    <row r="69" spans="1:8" ht="15">
      <c r="A69" s="235" t="s">
        <v>215</v>
      </c>
      <c r="B69" s="241" t="s">
        <v>216</v>
      </c>
      <c r="C69" s="151">
        <v>9922</v>
      </c>
      <c r="D69" s="151">
        <v>3150</v>
      </c>
      <c r="E69" s="251" t="s">
        <v>78</v>
      </c>
      <c r="F69" s="242" t="s">
        <v>217</v>
      </c>
      <c r="G69" s="152">
        <v>214</v>
      </c>
      <c r="H69" s="152">
        <v>1102</v>
      </c>
    </row>
    <row r="70" spans="1:8" ht="15">
      <c r="A70" s="235" t="s">
        <v>218</v>
      </c>
      <c r="B70" s="241" t="s">
        <v>219</v>
      </c>
      <c r="C70" s="151">
        <v>7795</v>
      </c>
      <c r="D70" s="151">
        <v>4083</v>
      </c>
      <c r="E70" s="237" t="s">
        <v>220</v>
      </c>
      <c r="F70" s="242" t="s">
        <v>221</v>
      </c>
      <c r="G70" s="152">
        <v>240</v>
      </c>
      <c r="H70" s="152">
        <v>240</v>
      </c>
    </row>
    <row r="71" spans="1:18" ht="15">
      <c r="A71" s="235" t="s">
        <v>222</v>
      </c>
      <c r="B71" s="241" t="s">
        <v>223</v>
      </c>
      <c r="C71" s="151"/>
      <c r="D71" s="151">
        <v>2</v>
      </c>
      <c r="E71" s="253" t="s">
        <v>46</v>
      </c>
      <c r="F71" s="273" t="s">
        <v>224</v>
      </c>
      <c r="G71" s="161">
        <f>G59+G60+G61+G69+G70</f>
        <v>71741.7</v>
      </c>
      <c r="H71" s="161">
        <f>H59+H60+H61+H69+H70</f>
        <v>65824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1801</v>
      </c>
      <c r="D74" s="151">
        <v>1762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83621</v>
      </c>
      <c r="D75" s="155">
        <f>SUM(D67:D74)</f>
        <v>65049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71741.7</v>
      </c>
      <c r="H79" s="162">
        <f>H71+H74+H75+H76</f>
        <v>65824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55</v>
      </c>
      <c r="D87" s="151">
        <v>2252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2214</v>
      </c>
      <c r="D88" s="151">
        <v>8161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2269</v>
      </c>
      <c r="D91" s="155">
        <f>SUM(D87:D90)</f>
        <v>11427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98370</v>
      </c>
      <c r="D93" s="155">
        <f>D64+D75+D84+D91+D92</f>
        <v>89196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165501</v>
      </c>
      <c r="D94" s="164">
        <f>D93+D55</f>
        <v>144800</v>
      </c>
      <c r="E94" s="449" t="s">
        <v>270</v>
      </c>
      <c r="F94" s="289" t="s">
        <v>271</v>
      </c>
      <c r="G94" s="165">
        <f>G36+G39+G55+G79</f>
        <v>165501</v>
      </c>
      <c r="H94" s="165">
        <f>H36+H39+H55+H79</f>
        <v>144800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95" t="s">
        <v>273</v>
      </c>
      <c r="D98" s="595"/>
      <c r="E98" s="59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5" t="s">
        <v>855</v>
      </c>
      <c r="D100" s="596"/>
      <c r="E100" s="59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366"/>
  <sheetViews>
    <sheetView zoomScalePageLayoutView="0" workbookViewId="0" topLeftCell="A13">
      <selection activeCell="D36" sqref="C36:D3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0" t="str">
        <f>'справка №1-БАЛАНС'!E3</f>
        <v>"ЕНЕМОНА"АД, КОЗЛОДУЙ</v>
      </c>
      <c r="C2" s="600"/>
      <c r="D2" s="600"/>
      <c r="E2" s="600"/>
      <c r="F2" s="602" t="s">
        <v>2</v>
      </c>
      <c r="G2" s="602"/>
      <c r="H2" s="525" t="str">
        <f>'справка №1-БАЛАНС'!H3</f>
        <v>,020955078</v>
      </c>
    </row>
    <row r="3" spans="1:8" ht="15">
      <c r="A3" s="467" t="s">
        <v>275</v>
      </c>
      <c r="B3" s="600" t="str">
        <f>'справка №1-БАЛАНС'!E4</f>
        <v> НЕКОНСОЛИДИРАН</v>
      </c>
      <c r="C3" s="600"/>
      <c r="D3" s="600"/>
      <c r="E3" s="600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1" t="str">
        <f>'справка №1-БАЛАНС'!E5</f>
        <v>01.01.2010-30.06.2010 година</v>
      </c>
      <c r="C4" s="601"/>
      <c r="D4" s="60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4234</v>
      </c>
      <c r="D9" s="46">
        <v>5975</v>
      </c>
      <c r="E9" s="298" t="s">
        <v>285</v>
      </c>
      <c r="F9" s="548" t="s">
        <v>286</v>
      </c>
      <c r="G9" s="549">
        <v>32465</v>
      </c>
      <c r="H9" s="549">
        <v>43014</v>
      </c>
    </row>
    <row r="10" spans="1:8" ht="12">
      <c r="A10" s="298" t="s">
        <v>287</v>
      </c>
      <c r="B10" s="299" t="s">
        <v>288</v>
      </c>
      <c r="C10" s="46">
        <v>15135</v>
      </c>
      <c r="D10" s="46">
        <v>19725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848</v>
      </c>
      <c r="D11" s="46">
        <v>1003</v>
      </c>
      <c r="E11" s="300" t="s">
        <v>293</v>
      </c>
      <c r="F11" s="548" t="s">
        <v>294</v>
      </c>
      <c r="G11" s="549">
        <v>171</v>
      </c>
      <c r="H11" s="549">
        <v>264</v>
      </c>
    </row>
    <row r="12" spans="1:8" ht="12">
      <c r="A12" s="298" t="s">
        <v>295</v>
      </c>
      <c r="B12" s="299" t="s">
        <v>296</v>
      </c>
      <c r="C12" s="46">
        <v>8444</v>
      </c>
      <c r="D12" s="46">
        <v>8156</v>
      </c>
      <c r="E12" s="300" t="s">
        <v>78</v>
      </c>
      <c r="F12" s="548" t="s">
        <v>297</v>
      </c>
      <c r="G12" s="549">
        <v>183</v>
      </c>
      <c r="H12" s="549">
        <v>2853</v>
      </c>
    </row>
    <row r="13" spans="1:18" ht="12">
      <c r="A13" s="298" t="s">
        <v>298</v>
      </c>
      <c r="B13" s="299" t="s">
        <v>299</v>
      </c>
      <c r="C13" s="46">
        <v>1128</v>
      </c>
      <c r="D13" s="46">
        <v>812</v>
      </c>
      <c r="E13" s="301" t="s">
        <v>51</v>
      </c>
      <c r="F13" s="550" t="s">
        <v>300</v>
      </c>
      <c r="G13" s="547">
        <f>SUM(G9:G12)</f>
        <v>32819</v>
      </c>
      <c r="H13" s="547">
        <f>SUM(H9:H12)</f>
        <v>46131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660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164</v>
      </c>
      <c r="D15" s="47">
        <v>172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759</v>
      </c>
      <c r="D16" s="47">
        <v>1899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30712</v>
      </c>
      <c r="D19" s="49">
        <f>SUM(D9:D15)+D16</f>
        <v>38402</v>
      </c>
      <c r="E19" s="304" t="s">
        <v>317</v>
      </c>
      <c r="F19" s="551" t="s">
        <v>318</v>
      </c>
      <c r="G19" s="549">
        <v>873</v>
      </c>
      <c r="H19" s="549">
        <v>601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1592</v>
      </c>
      <c r="H20" s="549">
        <v>62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1397</v>
      </c>
      <c r="D22" s="46">
        <v>1518</v>
      </c>
      <c r="E22" s="304" t="s">
        <v>326</v>
      </c>
      <c r="F22" s="551" t="s">
        <v>327</v>
      </c>
      <c r="G22" s="549">
        <v>9</v>
      </c>
      <c r="H22" s="549">
        <v>14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</v>
      </c>
      <c r="H23" s="549">
        <v>18</v>
      </c>
    </row>
    <row r="24" spans="1:18" ht="12">
      <c r="A24" s="298" t="s">
        <v>332</v>
      </c>
      <c r="B24" s="305" t="s">
        <v>333</v>
      </c>
      <c r="C24" s="46">
        <v>21</v>
      </c>
      <c r="D24" s="46">
        <v>20</v>
      </c>
      <c r="E24" s="301" t="s">
        <v>103</v>
      </c>
      <c r="F24" s="553" t="s">
        <v>334</v>
      </c>
      <c r="G24" s="547">
        <f>SUM(G19:G23)</f>
        <v>2476</v>
      </c>
      <c r="H24" s="547">
        <f>SUM(H19:H23)</f>
        <v>695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388</v>
      </c>
      <c r="D25" s="46">
        <v>2043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1806</v>
      </c>
      <c r="D26" s="49">
        <f>SUM(D22:D25)</f>
        <v>3581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32518</v>
      </c>
      <c r="D28" s="50">
        <f>D26+D19</f>
        <v>41983</v>
      </c>
      <c r="E28" s="127" t="s">
        <v>339</v>
      </c>
      <c r="F28" s="553" t="s">
        <v>340</v>
      </c>
      <c r="G28" s="547">
        <f>G13+G15+G24</f>
        <v>35295</v>
      </c>
      <c r="H28" s="547">
        <f>H13+H15+H24</f>
        <v>46826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2777</v>
      </c>
      <c r="D30" s="50">
        <f>IF((H28-D28)&gt;0,H28-D28,0)</f>
        <v>4843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32518</v>
      </c>
      <c r="D33" s="49">
        <f>D28+D31+D32</f>
        <v>41983</v>
      </c>
      <c r="E33" s="127" t="s">
        <v>353</v>
      </c>
      <c r="F33" s="553" t="s">
        <v>354</v>
      </c>
      <c r="G33" s="53">
        <f>G32+G31+G28</f>
        <v>35295</v>
      </c>
      <c r="H33" s="53">
        <f>H32+H31+H28</f>
        <v>46826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2777</v>
      </c>
      <c r="D34" s="50">
        <f>IF((H33-D33)&gt;0,H33-D33,0)</f>
        <v>4843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277.7</v>
      </c>
      <c r="D35" s="49">
        <f>D36+D37+D38</f>
        <v>484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277.7</v>
      </c>
      <c r="D36" s="46">
        <v>484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2499.3</v>
      </c>
      <c r="D39" s="460">
        <f>+IF((H33-D33-D35)&gt;0,H33-D33-D35,0)</f>
        <v>4359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2499.3</v>
      </c>
      <c r="D41" s="52">
        <f>IF(H39=0,IF(D39-D40&gt;0,D39-D40+H40,0),IF(H39-H40&lt;0,H40-H39+D39,0))</f>
        <v>4359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35295</v>
      </c>
      <c r="D42" s="53">
        <f>D33+D35+D39</f>
        <v>46826</v>
      </c>
      <c r="E42" s="128" t="s">
        <v>380</v>
      </c>
      <c r="F42" s="129" t="s">
        <v>381</v>
      </c>
      <c r="G42" s="53">
        <f>G39+G33</f>
        <v>35295</v>
      </c>
      <c r="H42" s="53">
        <f>H39+H33</f>
        <v>46826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3" t="s">
        <v>861</v>
      </c>
      <c r="B45" s="603"/>
      <c r="C45" s="603"/>
      <c r="D45" s="603"/>
      <c r="E45" s="60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40385</v>
      </c>
      <c r="C48" s="427" t="s">
        <v>382</v>
      </c>
      <c r="D48" s="598"/>
      <c r="E48" s="598"/>
      <c r="F48" s="598"/>
      <c r="G48" s="598"/>
      <c r="H48" s="59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9"/>
      <c r="E50" s="599"/>
      <c r="F50" s="599"/>
      <c r="G50" s="599"/>
      <c r="H50" s="59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02"/>
  <sheetViews>
    <sheetView zoomScale="75" zoomScaleNormal="75" zoomScalePageLayoutView="0" workbookViewId="0" topLeftCell="A1">
      <selection activeCell="C34" sqref="C34: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01.01.2010-30.06.2010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32125</v>
      </c>
      <c r="D10" s="54">
        <v>45154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-33268</v>
      </c>
      <c r="D11" s="54">
        <v>-32043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-9313</v>
      </c>
      <c r="D13" s="54">
        <v>-8883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-1566</v>
      </c>
      <c r="D14" s="54">
        <v>-6180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-1106</v>
      </c>
      <c r="D15" s="54">
        <v>-1019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-269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-38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-376</v>
      </c>
      <c r="D19" s="54">
        <v>-1729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-13504</v>
      </c>
      <c r="D20" s="55">
        <f>SUM(D10:D19)</f>
        <v>-5013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-6153</v>
      </c>
      <c r="D22" s="54">
        <v>-303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-11493</v>
      </c>
      <c r="D24" s="54">
        <v>-10239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7042</v>
      </c>
      <c r="D25" s="54">
        <v>7171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-763</v>
      </c>
      <c r="D27" s="54">
        <v>-3091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-11367</v>
      </c>
      <c r="D32" s="55">
        <f>SUM(D22:D31)</f>
        <v>-6462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10941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17666</v>
      </c>
      <c r="D36" s="54">
        <v>2297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-11045</v>
      </c>
      <c r="D37" s="54">
        <v>-1077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-530</v>
      </c>
      <c r="D38" s="54">
        <v>-1609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-1319</v>
      </c>
      <c r="D39" s="54">
        <v>-123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-1031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15713</v>
      </c>
      <c r="D42" s="55">
        <f>SUM(D34:D41)</f>
        <v>-1543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-9158</v>
      </c>
      <c r="D43" s="55">
        <f>D42+D32+D20</f>
        <v>-13018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11427</v>
      </c>
      <c r="D44" s="132">
        <v>15140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2269</v>
      </c>
      <c r="D45" s="55">
        <f>D44+D43</f>
        <v>2122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2269</v>
      </c>
      <c r="D46" s="56">
        <v>2122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4"/>
      <c r="D50" s="60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4"/>
      <c r="D52" s="60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7"/>
  <sheetViews>
    <sheetView zoomScalePageLayoutView="0" workbookViewId="0" topLeftCell="A2">
      <selection activeCell="C28" sqref="C2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5" t="s">
        <v>460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7" t="str">
        <f>'справка №1-БАЛАНС'!E3</f>
        <v>"ЕНЕМОНА"АД, КОЗЛОДУЙ</v>
      </c>
      <c r="C3" s="607"/>
      <c r="D3" s="607"/>
      <c r="E3" s="607"/>
      <c r="F3" s="607"/>
      <c r="G3" s="607"/>
      <c r="H3" s="607"/>
      <c r="I3" s="607"/>
      <c r="J3" s="476"/>
      <c r="K3" s="609" t="s">
        <v>2</v>
      </c>
      <c r="L3" s="609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7" t="str">
        <f>'справка №1-БАЛАНС'!E4</f>
        <v> НЕКОНСОЛИДИРАН</v>
      </c>
      <c r="C4" s="607"/>
      <c r="D4" s="607"/>
      <c r="E4" s="607"/>
      <c r="F4" s="607"/>
      <c r="G4" s="607"/>
      <c r="H4" s="607"/>
      <c r="I4" s="607"/>
      <c r="J4" s="136"/>
      <c r="K4" s="610" t="s">
        <v>4</v>
      </c>
      <c r="L4" s="610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1" t="str">
        <f>'справка №1-БАЛАНС'!E5</f>
        <v>01.01.2010-30.06.2010 година</v>
      </c>
      <c r="C5" s="611"/>
      <c r="D5" s="611"/>
      <c r="E5" s="61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17626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11590</v>
      </c>
      <c r="J11" s="58">
        <f>'справка №1-БАЛАНС'!H29+'справка №1-БАЛАНС'!H32</f>
        <v>0</v>
      </c>
      <c r="K11" s="60"/>
      <c r="L11" s="344">
        <f>SUM(C11:K11)</f>
        <v>72980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17626</v>
      </c>
      <c r="G15" s="61">
        <f t="shared" si="2"/>
        <v>0</v>
      </c>
      <c r="H15" s="61">
        <f t="shared" si="2"/>
        <v>993</v>
      </c>
      <c r="I15" s="61">
        <f t="shared" si="2"/>
        <v>11590</v>
      </c>
      <c r="J15" s="61">
        <f t="shared" si="2"/>
        <v>0</v>
      </c>
      <c r="K15" s="61">
        <f t="shared" si="2"/>
        <v>0</v>
      </c>
      <c r="L15" s="344">
        <f t="shared" si="1"/>
        <v>72980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2499.3</v>
      </c>
      <c r="J16" s="345">
        <f>+'справка №1-БАЛАНС'!G32</f>
        <v>0</v>
      </c>
      <c r="K16" s="60"/>
      <c r="L16" s="344">
        <f t="shared" si="1"/>
        <v>2499.3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1103</v>
      </c>
      <c r="D28" s="60"/>
      <c r="E28" s="60"/>
      <c r="F28" s="60"/>
      <c r="G28" s="60"/>
      <c r="H28" s="60">
        <v>9838</v>
      </c>
      <c r="I28" s="60">
        <v>91</v>
      </c>
      <c r="J28" s="60"/>
      <c r="K28" s="60"/>
      <c r="L28" s="344">
        <f t="shared" si="1"/>
        <v>11032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30837</v>
      </c>
      <c r="E29" s="59">
        <f t="shared" si="6"/>
        <v>0</v>
      </c>
      <c r="F29" s="59">
        <f t="shared" si="6"/>
        <v>17626</v>
      </c>
      <c r="G29" s="59">
        <f t="shared" si="6"/>
        <v>0</v>
      </c>
      <c r="H29" s="59">
        <f t="shared" si="6"/>
        <v>10831</v>
      </c>
      <c r="I29" s="59">
        <f t="shared" si="6"/>
        <v>14180.3</v>
      </c>
      <c r="J29" s="59">
        <f t="shared" si="6"/>
        <v>0</v>
      </c>
      <c r="K29" s="59">
        <f t="shared" si="6"/>
        <v>0</v>
      </c>
      <c r="L29" s="344">
        <f t="shared" si="1"/>
        <v>86511.3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30837</v>
      </c>
      <c r="E32" s="59">
        <f t="shared" si="7"/>
        <v>0</v>
      </c>
      <c r="F32" s="59">
        <f t="shared" si="7"/>
        <v>17626</v>
      </c>
      <c r="G32" s="59">
        <f t="shared" si="7"/>
        <v>0</v>
      </c>
      <c r="H32" s="59">
        <f t="shared" si="7"/>
        <v>10831</v>
      </c>
      <c r="I32" s="59">
        <f t="shared" si="7"/>
        <v>14180.3</v>
      </c>
      <c r="J32" s="59">
        <f t="shared" si="7"/>
        <v>0</v>
      </c>
      <c r="K32" s="59">
        <f t="shared" si="7"/>
        <v>0</v>
      </c>
      <c r="L32" s="344">
        <f t="shared" si="1"/>
        <v>86511.3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8" t="s">
        <v>862</v>
      </c>
      <c r="B35" s="608"/>
      <c r="C35" s="608"/>
      <c r="D35" s="608"/>
      <c r="E35" s="608"/>
      <c r="F35" s="608"/>
      <c r="G35" s="608"/>
      <c r="H35" s="608"/>
      <c r="I35" s="608"/>
      <c r="J35" s="60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606" t="s">
        <v>522</v>
      </c>
      <c r="E38" s="606"/>
      <c r="F38" s="606"/>
      <c r="G38" s="606"/>
      <c r="H38" s="606"/>
      <c r="I38" s="606"/>
      <c r="J38" s="15" t="s">
        <v>857</v>
      </c>
      <c r="K38" s="15"/>
      <c r="L38" s="606"/>
      <c r="M38" s="60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B232"/>
  <sheetViews>
    <sheetView zoomScalePageLayoutView="0" workbookViewId="0" topLeftCell="A13">
      <selection activeCell="D28" sqref="D28:F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8" t="s">
        <v>384</v>
      </c>
      <c r="B2" s="619"/>
      <c r="C2" s="620" t="str">
        <f>'справка №1-БАЛАНС'!E3</f>
        <v>"ЕНЕМОНА"АД, КОЗЛОДУЙ</v>
      </c>
      <c r="D2" s="620"/>
      <c r="E2" s="620"/>
      <c r="F2" s="620"/>
      <c r="G2" s="620"/>
      <c r="H2" s="62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18" t="s">
        <v>5</v>
      </c>
      <c r="B3" s="619"/>
      <c r="C3" s="621" t="str">
        <f>'справка №1-БАЛАНС'!E5</f>
        <v>01.01.2010-30.06.2010 година</v>
      </c>
      <c r="D3" s="621"/>
      <c r="E3" s="621"/>
      <c r="F3" s="485"/>
      <c r="G3" s="485"/>
      <c r="H3" s="485"/>
      <c r="I3" s="485"/>
      <c r="J3" s="485"/>
      <c r="K3" s="485"/>
      <c r="L3" s="485"/>
      <c r="M3" s="624" t="s">
        <v>4</v>
      </c>
      <c r="N3" s="624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2" t="s">
        <v>530</v>
      </c>
      <c r="R5" s="622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3"/>
      <c r="R6" s="62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2819</v>
      </c>
      <c r="E9" s="189">
        <v>2914</v>
      </c>
      <c r="F9" s="189"/>
      <c r="G9" s="74">
        <f>D9+E9-F9</f>
        <v>5733</v>
      </c>
      <c r="H9" s="65"/>
      <c r="I9" s="65"/>
      <c r="J9" s="74">
        <f aca="true" t="shared" si="0" ref="J9:J25">G9+H9-I9</f>
        <v>5733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5733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11015</v>
      </c>
      <c r="E10" s="189">
        <v>3119</v>
      </c>
      <c r="F10" s="189">
        <v>51</v>
      </c>
      <c r="G10" s="74">
        <f aca="true" t="shared" si="3" ref="G10:G39">D10+E10-F10</f>
        <v>14083</v>
      </c>
      <c r="H10" s="65"/>
      <c r="I10" s="65"/>
      <c r="J10" s="74">
        <f t="shared" si="0"/>
        <v>14083</v>
      </c>
      <c r="K10" s="65">
        <v>1558</v>
      </c>
      <c r="L10" s="65">
        <v>128</v>
      </c>
      <c r="M10" s="65">
        <v>12</v>
      </c>
      <c r="N10" s="74">
        <f aca="true" t="shared" si="4" ref="N10:N39">K10+L10-M10</f>
        <v>1674</v>
      </c>
      <c r="O10" s="65"/>
      <c r="P10" s="65"/>
      <c r="Q10" s="74">
        <f t="shared" si="1"/>
        <v>1674</v>
      </c>
      <c r="R10" s="74">
        <f t="shared" si="2"/>
        <v>12409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3868</v>
      </c>
      <c r="E11" s="189">
        <v>64</v>
      </c>
      <c r="F11" s="189"/>
      <c r="G11" s="74">
        <f t="shared" si="3"/>
        <v>3932</v>
      </c>
      <c r="H11" s="65"/>
      <c r="I11" s="65"/>
      <c r="J11" s="74">
        <f t="shared" si="0"/>
        <v>3932</v>
      </c>
      <c r="K11" s="65">
        <v>2194</v>
      </c>
      <c r="L11" s="65">
        <v>251</v>
      </c>
      <c r="M11" s="65"/>
      <c r="N11" s="74">
        <f t="shared" si="4"/>
        <v>2445</v>
      </c>
      <c r="O11" s="65"/>
      <c r="P11" s="65"/>
      <c r="Q11" s="74">
        <f t="shared" si="1"/>
        <v>2445</v>
      </c>
      <c r="R11" s="74">
        <f t="shared" si="2"/>
        <v>1487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6970</v>
      </c>
      <c r="E13" s="189"/>
      <c r="F13" s="189">
        <v>120</v>
      </c>
      <c r="G13" s="74">
        <f t="shared" si="3"/>
        <v>6850</v>
      </c>
      <c r="H13" s="65"/>
      <c r="I13" s="65"/>
      <c r="J13" s="74">
        <f t="shared" si="0"/>
        <v>6850</v>
      </c>
      <c r="K13" s="65">
        <v>1817</v>
      </c>
      <c r="L13" s="65">
        <v>256</v>
      </c>
      <c r="M13" s="65">
        <v>59</v>
      </c>
      <c r="N13" s="74">
        <f t="shared" si="4"/>
        <v>2014</v>
      </c>
      <c r="O13" s="65"/>
      <c r="P13" s="65"/>
      <c r="Q13" s="74">
        <f t="shared" si="1"/>
        <v>2014</v>
      </c>
      <c r="R13" s="74">
        <f t="shared" si="2"/>
        <v>4836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620</v>
      </c>
      <c r="E14" s="189">
        <v>19</v>
      </c>
      <c r="F14" s="189"/>
      <c r="G14" s="74">
        <f t="shared" si="3"/>
        <v>639</v>
      </c>
      <c r="H14" s="65"/>
      <c r="I14" s="65"/>
      <c r="J14" s="74">
        <f t="shared" si="0"/>
        <v>639</v>
      </c>
      <c r="K14" s="65">
        <v>253</v>
      </c>
      <c r="L14" s="65">
        <v>25</v>
      </c>
      <c r="M14" s="65"/>
      <c r="N14" s="74">
        <f t="shared" si="4"/>
        <v>278</v>
      </c>
      <c r="O14" s="65"/>
      <c r="P14" s="65"/>
      <c r="Q14" s="74">
        <f t="shared" si="1"/>
        <v>278</v>
      </c>
      <c r="R14" s="74">
        <f t="shared" si="2"/>
        <v>361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5760</v>
      </c>
      <c r="E15" s="457">
        <v>6260</v>
      </c>
      <c r="F15" s="457">
        <v>6033</v>
      </c>
      <c r="G15" s="74">
        <f t="shared" si="3"/>
        <v>5987</v>
      </c>
      <c r="H15" s="458"/>
      <c r="I15" s="458"/>
      <c r="J15" s="74">
        <f t="shared" si="0"/>
        <v>5987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5987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2124</v>
      </c>
      <c r="E16" s="189">
        <v>31</v>
      </c>
      <c r="F16" s="189">
        <v>1</v>
      </c>
      <c r="G16" s="74">
        <f t="shared" si="3"/>
        <v>2154</v>
      </c>
      <c r="H16" s="65"/>
      <c r="I16" s="65"/>
      <c r="J16" s="74">
        <f t="shared" si="0"/>
        <v>2154</v>
      </c>
      <c r="K16" s="65">
        <v>843</v>
      </c>
      <c r="L16" s="65">
        <v>137</v>
      </c>
      <c r="M16" s="65">
        <v>1</v>
      </c>
      <c r="N16" s="74">
        <f t="shared" si="4"/>
        <v>979</v>
      </c>
      <c r="O16" s="65"/>
      <c r="P16" s="65"/>
      <c r="Q16" s="74">
        <f aca="true" t="shared" si="5" ref="Q16:Q25">N16+O16-P16</f>
        <v>979</v>
      </c>
      <c r="R16" s="74">
        <f aca="true" t="shared" si="6" ref="R16:R25">J16-Q16</f>
        <v>1175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33176</v>
      </c>
      <c r="E17" s="194">
        <f>SUM(E9:E16)</f>
        <v>12407</v>
      </c>
      <c r="F17" s="194">
        <f>SUM(F9:F16)</f>
        <v>6205</v>
      </c>
      <c r="G17" s="74">
        <f t="shared" si="3"/>
        <v>39378</v>
      </c>
      <c r="H17" s="75">
        <f>SUM(H9:H16)</f>
        <v>0</v>
      </c>
      <c r="I17" s="75">
        <f>SUM(I9:I16)</f>
        <v>0</v>
      </c>
      <c r="J17" s="74">
        <f t="shared" si="0"/>
        <v>39378</v>
      </c>
      <c r="K17" s="75">
        <f>SUM(K9:K16)</f>
        <v>6665</v>
      </c>
      <c r="L17" s="75">
        <f>SUM(L9:L16)</f>
        <v>797</v>
      </c>
      <c r="M17" s="75">
        <f>SUM(M9:M16)</f>
        <v>72</v>
      </c>
      <c r="N17" s="74">
        <f t="shared" si="4"/>
        <v>7390</v>
      </c>
      <c r="O17" s="75">
        <f>SUM(O9:O16)</f>
        <v>0</v>
      </c>
      <c r="P17" s="75">
        <f>SUM(P9:P16)</f>
        <v>0</v>
      </c>
      <c r="Q17" s="74">
        <f t="shared" si="5"/>
        <v>7390</v>
      </c>
      <c r="R17" s="74">
        <f t="shared" si="6"/>
        <v>31988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1437</v>
      </c>
      <c r="E21" s="189">
        <v>9</v>
      </c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704</v>
      </c>
      <c r="L21" s="65">
        <v>30</v>
      </c>
      <c r="M21" s="65"/>
      <c r="N21" s="74">
        <f t="shared" si="4"/>
        <v>734</v>
      </c>
      <c r="O21" s="65"/>
      <c r="P21" s="65"/>
      <c r="Q21" s="74">
        <f t="shared" si="5"/>
        <v>734</v>
      </c>
      <c r="R21" s="74">
        <f t="shared" si="6"/>
        <v>712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320</v>
      </c>
      <c r="E22" s="189">
        <v>16</v>
      </c>
      <c r="F22" s="189"/>
      <c r="G22" s="74">
        <f t="shared" si="3"/>
        <v>336</v>
      </c>
      <c r="H22" s="65"/>
      <c r="I22" s="65"/>
      <c r="J22" s="74">
        <f t="shared" si="0"/>
        <v>336</v>
      </c>
      <c r="K22" s="65">
        <v>194</v>
      </c>
      <c r="L22" s="65">
        <v>21</v>
      </c>
      <c r="M22" s="65"/>
      <c r="N22" s="74">
        <f t="shared" si="4"/>
        <v>215</v>
      </c>
      <c r="O22" s="65"/>
      <c r="P22" s="65"/>
      <c r="Q22" s="74">
        <f t="shared" si="5"/>
        <v>215</v>
      </c>
      <c r="R22" s="74">
        <f t="shared" si="6"/>
        <v>121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1757</v>
      </c>
      <c r="E25" s="190">
        <f aca="true" t="shared" si="7" ref="E25:P25">SUM(E21:E24)</f>
        <v>25</v>
      </c>
      <c r="F25" s="190">
        <f t="shared" si="7"/>
        <v>0</v>
      </c>
      <c r="G25" s="67">
        <f t="shared" si="3"/>
        <v>1782</v>
      </c>
      <c r="H25" s="66">
        <f t="shared" si="7"/>
        <v>0</v>
      </c>
      <c r="I25" s="66">
        <f t="shared" si="7"/>
        <v>0</v>
      </c>
      <c r="J25" s="67">
        <f t="shared" si="0"/>
        <v>1782</v>
      </c>
      <c r="K25" s="66">
        <f t="shared" si="7"/>
        <v>898</v>
      </c>
      <c r="L25" s="66">
        <f t="shared" si="7"/>
        <v>51</v>
      </c>
      <c r="M25" s="66">
        <f t="shared" si="7"/>
        <v>0</v>
      </c>
      <c r="N25" s="67">
        <f t="shared" si="4"/>
        <v>949</v>
      </c>
      <c r="O25" s="66">
        <f t="shared" si="7"/>
        <v>0</v>
      </c>
      <c r="P25" s="66">
        <f t="shared" si="7"/>
        <v>0</v>
      </c>
      <c r="Q25" s="67">
        <f t="shared" si="5"/>
        <v>949</v>
      </c>
      <c r="R25" s="67">
        <f t="shared" si="6"/>
        <v>833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18572</v>
      </c>
      <c r="E27" s="192">
        <f aca="true" t="shared" si="8" ref="E27:P27">SUM(E28:E31)</f>
        <v>755</v>
      </c>
      <c r="F27" s="192">
        <f t="shared" si="8"/>
        <v>0</v>
      </c>
      <c r="G27" s="71">
        <f t="shared" si="3"/>
        <v>19327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19327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19327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18321</v>
      </c>
      <c r="E28" s="189">
        <v>755</v>
      </c>
      <c r="F28" s="189"/>
      <c r="G28" s="74">
        <f t="shared" si="3"/>
        <v>19076</v>
      </c>
      <c r="H28" s="65"/>
      <c r="I28" s="65"/>
      <c r="J28" s="74">
        <f t="shared" si="9"/>
        <v>19076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19076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251</v>
      </c>
      <c r="E30" s="189"/>
      <c r="F30" s="189"/>
      <c r="G30" s="74">
        <f t="shared" si="3"/>
        <v>251</v>
      </c>
      <c r="H30" s="72"/>
      <c r="I30" s="72"/>
      <c r="J30" s="74">
        <f t="shared" si="9"/>
        <v>251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251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18572</v>
      </c>
      <c r="E38" s="194">
        <f aca="true" t="shared" si="13" ref="E38:P38">E27+E32+E37</f>
        <v>755</v>
      </c>
      <c r="F38" s="194">
        <f t="shared" si="13"/>
        <v>0</v>
      </c>
      <c r="G38" s="74">
        <f t="shared" si="3"/>
        <v>19327</v>
      </c>
      <c r="H38" s="75">
        <f t="shared" si="13"/>
        <v>0</v>
      </c>
      <c r="I38" s="75">
        <f t="shared" si="13"/>
        <v>0</v>
      </c>
      <c r="J38" s="74">
        <f t="shared" si="9"/>
        <v>19327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19327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53505</v>
      </c>
      <c r="E40" s="438">
        <f>E17+E18+E19+E25+E38+E39</f>
        <v>13187</v>
      </c>
      <c r="F40" s="438">
        <f aca="true" t="shared" si="14" ref="F40:R40">F17+F18+F19+F25+F38+F39</f>
        <v>6205</v>
      </c>
      <c r="G40" s="438">
        <f t="shared" si="14"/>
        <v>60487</v>
      </c>
      <c r="H40" s="438">
        <f t="shared" si="14"/>
        <v>0</v>
      </c>
      <c r="I40" s="438">
        <f t="shared" si="14"/>
        <v>0</v>
      </c>
      <c r="J40" s="438">
        <f t="shared" si="14"/>
        <v>60487</v>
      </c>
      <c r="K40" s="438">
        <f t="shared" si="14"/>
        <v>7563</v>
      </c>
      <c r="L40" s="438">
        <f t="shared" si="14"/>
        <v>848</v>
      </c>
      <c r="M40" s="438">
        <f t="shared" si="14"/>
        <v>72</v>
      </c>
      <c r="N40" s="438">
        <f t="shared" si="14"/>
        <v>8339</v>
      </c>
      <c r="O40" s="438">
        <f t="shared" si="14"/>
        <v>0</v>
      </c>
      <c r="P40" s="438">
        <f t="shared" si="14"/>
        <v>0</v>
      </c>
      <c r="Q40" s="438">
        <f t="shared" si="14"/>
        <v>8339</v>
      </c>
      <c r="R40" s="438">
        <f t="shared" si="14"/>
        <v>52148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5"/>
      <c r="L44" s="625"/>
      <c r="M44" s="625"/>
      <c r="N44" s="625"/>
      <c r="O44" s="626" t="s">
        <v>782</v>
      </c>
      <c r="P44" s="627"/>
      <c r="Q44" s="627"/>
      <c r="R44" s="62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115"/>
  <sheetViews>
    <sheetView zoomScalePageLayoutView="0" workbookViewId="0" topLeftCell="A1">
      <selection activeCell="D42" sqref="C41:D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1" t="s">
        <v>610</v>
      </c>
      <c r="B1" s="631"/>
      <c r="C1" s="631"/>
      <c r="D1" s="631"/>
      <c r="E1" s="63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4" t="str">
        <f>'справка №1-БАЛАНС'!E3</f>
        <v>"ЕНЕМОНА"АД, КОЗЛОДУЙ</v>
      </c>
      <c r="C3" s="635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2" t="str">
        <f>'справка №1-БАЛАНС'!E5</f>
        <v>01.01.2010-30.06.2010 година</v>
      </c>
      <c r="C4" s="633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2102</v>
      </c>
      <c r="D15" s="108"/>
      <c r="E15" s="120">
        <f t="shared" si="0"/>
        <v>2102</v>
      </c>
      <c r="F15" s="106"/>
    </row>
    <row r="16" spans="1:15" ht="12">
      <c r="A16" s="396" t="s">
        <v>630</v>
      </c>
      <c r="B16" s="397" t="s">
        <v>631</v>
      </c>
      <c r="C16" s="119">
        <f>+C17+C18</f>
        <v>12881</v>
      </c>
      <c r="D16" s="119">
        <f>+D17+D18</f>
        <v>0</v>
      </c>
      <c r="E16" s="120">
        <f t="shared" si="0"/>
        <v>12881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12881</v>
      </c>
      <c r="D18" s="108"/>
      <c r="E18" s="120">
        <f t="shared" si="0"/>
        <v>12881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14983</v>
      </c>
      <c r="D19" s="104">
        <f>D11+D15+D16</f>
        <v>0</v>
      </c>
      <c r="E19" s="118">
        <f>E11+E15+E16</f>
        <v>14983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5761</v>
      </c>
      <c r="D24" s="119">
        <f>SUM(D25:D27)</f>
        <v>5761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5761</v>
      </c>
      <c r="D26" s="108">
        <v>5761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58342</v>
      </c>
      <c r="D28" s="108">
        <v>58342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9922</v>
      </c>
      <c r="D29" s="108">
        <v>9922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7795</v>
      </c>
      <c r="D30" s="108">
        <v>7795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1801</v>
      </c>
      <c r="D38" s="105">
        <f>SUM(D39:D42)</f>
        <v>1801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1801</v>
      </c>
      <c r="D42" s="108">
        <v>1801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83621</v>
      </c>
      <c r="D43" s="104">
        <f>D24+D28+D29+D31+D30+D32+D33+D38</f>
        <v>83621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98604</v>
      </c>
      <c r="D44" s="103">
        <f>D43+D21+D19+D9</f>
        <v>83621</v>
      </c>
      <c r="E44" s="118">
        <f>E43+E21+E19+E9</f>
        <v>14983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4782</v>
      </c>
      <c r="D56" s="103">
        <f>D57+D59</f>
        <v>0</v>
      </c>
      <c r="E56" s="119">
        <f t="shared" si="1"/>
        <v>4782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4782</v>
      </c>
      <c r="D57" s="108"/>
      <c r="E57" s="119">
        <f t="shared" si="1"/>
        <v>4782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C65+'справка №1-БАЛАНС'!G51</f>
        <v>1486</v>
      </c>
      <c r="D64" s="108"/>
      <c r="E64" s="119">
        <f t="shared" si="1"/>
        <v>1486</v>
      </c>
      <c r="F64" s="110"/>
    </row>
    <row r="65" spans="1:6" ht="12">
      <c r="A65" s="396" t="s">
        <v>710</v>
      </c>
      <c r="B65" s="397" t="s">
        <v>711</v>
      </c>
      <c r="C65" s="109">
        <f>'справка №1-БАЛАНС'!G48</f>
        <v>1312</v>
      </c>
      <c r="D65" s="109"/>
      <c r="E65" s="119">
        <f t="shared" si="1"/>
        <v>1312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6268</v>
      </c>
      <c r="D66" s="103">
        <f>D52+D56+D61+D62+D63+D64</f>
        <v>0</v>
      </c>
      <c r="E66" s="119">
        <f t="shared" si="1"/>
        <v>6268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980</v>
      </c>
      <c r="D68" s="108"/>
      <c r="E68" s="119">
        <f t="shared" si="1"/>
        <v>980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4765</v>
      </c>
      <c r="D71" s="105">
        <f>SUM(D72:D74)</f>
        <v>4765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4765</v>
      </c>
      <c r="D72" s="108">
        <f>C72</f>
        <v>4765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39213</v>
      </c>
      <c r="D75" s="103">
        <f>D76+D78</f>
        <v>39213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39213</v>
      </c>
      <c r="D76" s="108">
        <f>C76</f>
        <v>39213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877</v>
      </c>
      <c r="D80" s="103">
        <f>SUM(D81:D84)</f>
        <v>877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877</v>
      </c>
      <c r="D84" s="108">
        <f>C84</f>
        <v>877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26432.7</v>
      </c>
      <c r="D85" s="104">
        <f>SUM(D86:D90)+D94</f>
        <v>26432.7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3568</v>
      </c>
      <c r="D86" s="108">
        <f>C86</f>
        <v>3568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6084</v>
      </c>
      <c r="D87" s="108">
        <f>C87</f>
        <v>6084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14261</v>
      </c>
      <c r="D88" s="108">
        <f>C88</f>
        <v>14261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1092</v>
      </c>
      <c r="D89" s="108">
        <f>C89</f>
        <v>1092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1129.7</v>
      </c>
      <c r="D90" s="103">
        <f>SUM(D91:D93)</f>
        <v>1129.7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278</v>
      </c>
      <c r="D91" s="108">
        <f>C91</f>
        <v>278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851.7</v>
      </c>
      <c r="D92" s="108">
        <f>C92</f>
        <v>851.7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298</v>
      </c>
      <c r="D94" s="108">
        <f>C94</f>
        <v>298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454</v>
      </c>
      <c r="D95" s="108">
        <f>C95</f>
        <v>454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71741.7</v>
      </c>
      <c r="D96" s="104">
        <f>D85+D80+D75+D71+D95</f>
        <v>71741.7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78989.7</v>
      </c>
      <c r="D97" s="104">
        <f>D96+D68+D66</f>
        <v>71741.7</v>
      </c>
      <c r="E97" s="104">
        <f>E96+E68+E66</f>
        <v>7248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534</v>
      </c>
      <c r="D104" s="108"/>
      <c r="E104" s="108"/>
      <c r="F104" s="125">
        <f>C104+D104-E104</f>
        <v>534</v>
      </c>
    </row>
    <row r="105" spans="1:16" ht="12">
      <c r="A105" s="412" t="s">
        <v>778</v>
      </c>
      <c r="B105" s="395" t="s">
        <v>779</v>
      </c>
      <c r="C105" s="103">
        <f>SUM(C102:C104)</f>
        <v>534</v>
      </c>
      <c r="D105" s="103">
        <f>SUM(D102:D104)</f>
        <v>0</v>
      </c>
      <c r="E105" s="103">
        <f>SUM(E102:E104)</f>
        <v>0</v>
      </c>
      <c r="F105" s="103">
        <f>SUM(F102:F104)</f>
        <v>534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0" t="s">
        <v>781</v>
      </c>
      <c r="B107" s="630"/>
      <c r="C107" s="630"/>
      <c r="D107" s="630"/>
      <c r="E107" s="630"/>
      <c r="F107" s="63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9" t="s">
        <v>889</v>
      </c>
      <c r="B109" s="629"/>
      <c r="C109" s="629" t="s">
        <v>382</v>
      </c>
      <c r="D109" s="629"/>
      <c r="E109" s="629"/>
      <c r="F109" s="62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8" t="s">
        <v>782</v>
      </c>
      <c r="D111" s="628"/>
      <c r="E111" s="628"/>
      <c r="F111" s="62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64"/>
  <sheetViews>
    <sheetView zoomScalePageLayoutView="0" workbookViewId="0" topLeftCell="A1">
      <selection activeCell="F16" sqref="F1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6" t="str">
        <f>'справка №1-БАЛАНС'!E3</f>
        <v>"ЕНЕМОНА"АД, КОЗЛОДУЙ</v>
      </c>
      <c r="C4" s="636"/>
      <c r="D4" s="636"/>
      <c r="E4" s="636"/>
      <c r="F4" s="636"/>
      <c r="G4" s="642" t="s">
        <v>2</v>
      </c>
      <c r="H4" s="642"/>
      <c r="I4" s="500" t="str">
        <f>'справка №1-БАЛАНС'!H3</f>
        <v>,020955078</v>
      </c>
    </row>
    <row r="5" spans="1:9" ht="15">
      <c r="A5" s="501" t="s">
        <v>5</v>
      </c>
      <c r="B5" s="637" t="str">
        <f>'справка №1-БАЛАНС'!E5</f>
        <v>01.01.2010-30.06.2010 година</v>
      </c>
      <c r="C5" s="637"/>
      <c r="D5" s="637"/>
      <c r="E5" s="637"/>
      <c r="F5" s="637"/>
      <c r="G5" s="640" t="s">
        <v>4</v>
      </c>
      <c r="H5" s="64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19076</v>
      </c>
      <c r="G12" s="98"/>
      <c r="H12" s="98"/>
      <c r="I12" s="434">
        <f>F12+G12-H12</f>
        <v>19076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251</v>
      </c>
      <c r="G16" s="98"/>
      <c r="H16" s="98"/>
      <c r="I16" s="434">
        <f t="shared" si="0"/>
        <v>251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19327</v>
      </c>
      <c r="G17" s="85">
        <f t="shared" si="1"/>
        <v>0</v>
      </c>
      <c r="H17" s="85">
        <f t="shared" si="1"/>
        <v>0</v>
      </c>
      <c r="I17" s="434">
        <f t="shared" si="0"/>
        <v>19327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39"/>
      <c r="C30" s="639"/>
      <c r="D30" s="459" t="s">
        <v>818</v>
      </c>
      <c r="E30" s="638"/>
      <c r="F30" s="638"/>
      <c r="G30" s="638"/>
      <c r="H30" s="420" t="s">
        <v>782</v>
      </c>
      <c r="I30" s="638"/>
      <c r="J30" s="63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4"/>
  <sheetViews>
    <sheetView tabSelected="1" zoomScalePageLayoutView="0" workbookViewId="0" topLeftCell="A121">
      <selection activeCell="C46" sqref="C46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3" t="str">
        <f>'справка №1-БАЛАНС'!E3</f>
        <v>"ЕНЕМОНА"АД, КОЗЛОДУЙ</v>
      </c>
      <c r="C5" s="643"/>
      <c r="D5" s="643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4" t="str">
        <f>'справка №1-БАЛАНС'!E5</f>
        <v>01.01.2010-30.06.2010 година</v>
      </c>
      <c r="C6" s="644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>
        <v>5499</v>
      </c>
      <c r="D12" s="587">
        <v>99.98</v>
      </c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587">
        <v>100</v>
      </c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1558</v>
      </c>
      <c r="D14" s="587">
        <v>70.76</v>
      </c>
      <c r="E14" s="441"/>
      <c r="F14" s="443">
        <f t="shared" si="0"/>
        <v>1558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587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874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418</v>
      </c>
      <c r="D20" s="587">
        <v>99</v>
      </c>
      <c r="E20" s="441"/>
      <c r="F20" s="443">
        <f t="shared" si="0"/>
        <v>418</v>
      </c>
    </row>
    <row r="21" spans="1:6" ht="12.75">
      <c r="A21" s="36" t="s">
        <v>877</v>
      </c>
      <c r="B21" s="37"/>
      <c r="C21" s="441">
        <v>4</v>
      </c>
      <c r="D21" s="587">
        <v>80</v>
      </c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11</v>
      </c>
      <c r="D22" s="587">
        <v>90</v>
      </c>
      <c r="E22" s="441"/>
      <c r="F22" s="443">
        <f t="shared" si="0"/>
        <v>11</v>
      </c>
    </row>
    <row r="23" spans="1:6" ht="12.75">
      <c r="A23" s="36" t="s">
        <v>879</v>
      </c>
      <c r="B23" s="37"/>
      <c r="C23" s="441">
        <v>1280</v>
      </c>
      <c r="D23" s="587">
        <v>100</v>
      </c>
      <c r="E23" s="441"/>
      <c r="F23" s="443">
        <f t="shared" si="0"/>
        <v>1280</v>
      </c>
    </row>
    <row r="24" spans="1:6" ht="12.75">
      <c r="A24" s="36" t="s">
        <v>880</v>
      </c>
      <c r="B24" s="37"/>
      <c r="C24" s="441">
        <v>2050</v>
      </c>
      <c r="D24" s="587">
        <v>91.11</v>
      </c>
      <c r="E24" s="441"/>
      <c r="F24" s="443">
        <f t="shared" si="0"/>
        <v>2050</v>
      </c>
    </row>
    <row r="25" spans="1:6" ht="12" customHeight="1">
      <c r="A25" s="36" t="s">
        <v>881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882</v>
      </c>
      <c r="B26" s="37"/>
      <c r="C26" s="441">
        <v>5913</v>
      </c>
      <c r="D26" s="587">
        <v>77.36</v>
      </c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19076</v>
      </c>
      <c r="D27" s="586"/>
      <c r="E27" s="429">
        <f>SUM(E12:E26)</f>
        <v>0</v>
      </c>
      <c r="F27" s="442">
        <f>SUM(F12:F26)</f>
        <v>19076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886</v>
      </c>
      <c r="B46" s="40"/>
      <c r="C46" s="441">
        <v>4</v>
      </c>
      <c r="D46" s="587">
        <v>40</v>
      </c>
      <c r="E46" s="441"/>
      <c r="F46" s="443">
        <f>C46-E46</f>
        <v>4</v>
      </c>
    </row>
    <row r="47" spans="1:6" ht="12.75">
      <c r="A47" s="36" t="s">
        <v>887</v>
      </c>
      <c r="B47" s="40"/>
      <c r="C47" s="441">
        <v>247</v>
      </c>
      <c r="D47" s="587">
        <v>30</v>
      </c>
      <c r="E47" s="441"/>
      <c r="F47" s="443">
        <f aca="true" t="shared" si="2" ref="F47:F60">C47-E47</f>
        <v>247</v>
      </c>
    </row>
    <row r="48" spans="1:6" ht="12.75">
      <c r="A48" s="36" t="s">
        <v>550</v>
      </c>
      <c r="B48" s="40"/>
      <c r="C48" s="441"/>
      <c r="D48" s="587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251</v>
      </c>
      <c r="D61" s="586"/>
      <c r="E61" s="429">
        <f>SUM(E46:E60)</f>
        <v>0</v>
      </c>
      <c r="F61" s="442">
        <f>SUM(F46:F60)</f>
        <v>251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883</v>
      </c>
      <c r="B64" s="40"/>
      <c r="C64" s="441"/>
      <c r="D64" s="587"/>
      <c r="E64" s="441"/>
      <c r="F64" s="443">
        <f aca="true" t="shared" si="3" ref="F64:F77">C64-E64</f>
        <v>0</v>
      </c>
    </row>
    <row r="65" spans="1:6" ht="12.75">
      <c r="A65" s="36" t="s">
        <v>884</v>
      </c>
      <c r="B65" s="40"/>
      <c r="C65" s="441"/>
      <c r="D65" s="587"/>
      <c r="E65" s="441"/>
      <c r="F65" s="443">
        <f t="shared" si="3"/>
        <v>0</v>
      </c>
    </row>
    <row r="66" spans="1:6" ht="12.75">
      <c r="A66" s="36" t="s">
        <v>885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19327</v>
      </c>
      <c r="D79" s="586"/>
      <c r="E79" s="429">
        <f>E78+E61+E44+E27</f>
        <v>0</v>
      </c>
      <c r="F79" s="442">
        <f>F78+F61+F44+F27</f>
        <v>19327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7"/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37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889</v>
      </c>
      <c r="B151" s="453"/>
      <c r="C151" s="645" t="s">
        <v>848</v>
      </c>
      <c r="D151" s="645"/>
      <c r="E151" s="645"/>
      <c r="F151" s="645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5" t="s">
        <v>856</v>
      </c>
      <c r="D153" s="645"/>
      <c r="E153" s="645"/>
      <c r="F153" s="64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2010-07-26T13:50:16Z</cp:lastPrinted>
  <dcterms:created xsi:type="dcterms:W3CDTF">2000-06-29T12:02:40Z</dcterms:created>
  <dcterms:modified xsi:type="dcterms:W3CDTF">2010-07-30T12:47:33Z</dcterms:modified>
  <cp:category/>
  <cp:version/>
  <cp:contentType/>
  <cp:contentStatus/>
</cp:coreProperties>
</file>