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16" windowWidth="10920" windowHeight="72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<sst xmlns="http://schemas.openxmlformats.org/spreadsheetml/2006/main" count="1066" uniqueCount="877">
  <si>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</si>
  <si>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</si>
  <si>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</si>
  <si>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</si>
  <si>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</si>
  <si>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</si>
  <si>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</si>
  <si>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</si>
  <si>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</si>
  <si>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</si>
  <si>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</si>
  <si>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</si>
  <si>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</si>
  <si>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</si>
  <si>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</si>
  <si>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</si>
  <si>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</si>
  <si>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</si>
  <si>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</si>
  <si>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</si>
  <si>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</si>
  <si>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</si>
  <si>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</si>
  <si>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</si>
  <si>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</si>
  <si>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</si>
  <si>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</si>
  <si>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</si>
  <si>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</si>
  <si>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</si>
  <si>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</si>
  <si>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</si>
  <si>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</si>
  <si>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</si>
  <si>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</si>
  <si>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</si>
  <si>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</si>
  <si>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</si>
  <si>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</si>
  <si>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</si>
  <si>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</si>
  <si>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</si>
  <si>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</si>
  <si>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</si>
  <si>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</si>
  <si>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</si>
  <si>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</si>
  <si>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</si>
  <si>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</si>
  <si>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</si>
  <si>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</si>
  <si>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</si>
  <si>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</si>
  <si>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</si>
  <si>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</si>
  <si>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</si>
  <si>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</si>
  <si>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</si>
  <si>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</si>
  <si>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</si>
  <si>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</si>
  <si>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</si>
  <si>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</si>
  <si>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</si>
  <si>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</si>
  <si>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</si>
  <si>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</si>
  <si>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</si>
  <si>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</si>
  <si>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</si>
  <si>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</si>
  <si>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</si>
  <si>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</si>
  <si>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</si>
  <si>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</si>
  <si>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</si>
  <si>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</si>
  <si>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</si>
  <si>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</si>
  <si>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</si>
  <si>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</si>
  <si>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</si>
  <si>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</si>
  <si>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</si>
  <si>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</si>
  <si>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</si>
  <si>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</si>
  <si>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</si>
  <si>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</si>
  <si>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</si>
  <si>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</si>
  <si>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</si>
  <si>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</si>
  <si>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</si>
  <si>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</si>
  <si>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</si>
  <si>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</si>
  <si>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</si>
  <si>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</si>
  <si>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</si>
  <si>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</si>
  <si>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</si>
  <si>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</si>
  <si>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</si>
  <si>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</si>
  <si>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</si>
  <si>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</si>
  <si>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</si>
  <si>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</si>
  <si>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</si>
  <si>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</si>
  <si>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</si>
  <si>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</si>
  <si>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</si>
  <si>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</si>
  <si>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</si>
  <si>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</si>
  <si>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</si>
  <si>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</si>
  <si>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</si>
  <si>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</si>
  <si>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</si>
  <si>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</si>
  <si>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</si>
  <si>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</si>
  <si>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</si>
  <si>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</si>
  <si>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</si>
  <si>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</si>
  <si>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</si>
  <si>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</si>
  <si>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</si>
  <si>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</si>
  <si>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</si>
  <si>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</si>
  <si>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</si>
  <si>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</si>
  <si>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</si>
  <si>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</si>
  <si>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</si>
  <si>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</si>
  <si>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</si>
  <si>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</si>
  <si>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</si>
  <si>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</si>
  <si>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</si>
  <si>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</si>
  <si>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</si>
  <si>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</si>
  <si>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</si>
  <si>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</si>
  <si>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</si>
  <si>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</si>
  <si>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</si>
  <si>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</si>
  <si>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</si>
  <si>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</si>
  <si>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</si>
  <si>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</si>
  <si>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</si>
  <si>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</si>
  <si>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</si>
  <si>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</si>
  <si>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</si>
  <si>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</si>
  <si>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</si>
  <si>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</si>
  <si>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</si>
  <si>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</si>
  <si>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</si>
  <si>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</si>
  <si>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</si>
  <si>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</si>
  <si>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</si>
  <si>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</si>
  <si>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</si>
  <si>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</si>
  <si>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</si>
  <si>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</si>
  <si>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</si>
  <si>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</si>
  <si>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</si>
  <si>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</si>
  <si>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</si>
  <si>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</si>
  <si>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</si>
  <si>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</si>
  <si>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</si>
  <si>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</si>
  <si>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</si>
  <si>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</si>
  <si>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</si>
  <si>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</si>
  <si>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</si>
  <si>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</si>
  <si>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</si>
  <si>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</si>
  <si>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</si>
  <si>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</si>
  <si>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</si>
  <si>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</si>
  <si>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</si>
  <si>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</si>
  <si>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</si>
  <si>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</si>
  <si>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</si>
  <si>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</si>
  <si>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</si>
  <si>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</si>
  <si>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</si>
  <si>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</si>
  <si>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</si>
  <si>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</si>
  <si>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</si>
  <si>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</si>
  <si>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</si>
  <si>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</si>
  <si>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</si>
  <si>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</si>
  <si>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</si>
  <si>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</si>
  <si>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</si>
  <si>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</si>
  <si>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</si>
  <si>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</si>
  <si>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</si>
  <si>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</si>
  <si>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</si>
  <si>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</si>
  <si>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</si>
  <si>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</si>
  <si>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</si>
  <si>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</si>
  <si>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</si>
  <si>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</si>
  <si>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</si>
  <si>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</si>
  <si>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</si>
  <si>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</si>
  <si>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</si>
  <si>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</si>
  <si>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</si>
  <si>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</si>
  <si>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</si>
  <si>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</si>
  <si>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</si>
  <si>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</si>
  <si>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</si>
  <si>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</si>
  <si>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</si>
  <si>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</si>
  <si>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</si>
  <si>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</si>
  <si>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</si>
  <si>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</si>
  <si>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</si>
  <si>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</si>
  <si>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</si>
  <si>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</si>
  <si>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</si>
  <si>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</si>
  <si>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</si>
  <si>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</si>
  <si>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</si>
  <si>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</si>
  <si>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</si>
  <si>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</si>
  <si>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</si>
  <si>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</si>
  <si>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</si>
  <si>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</si>
  <si>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</si>
  <si>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</si>
  <si>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</si>
  <si>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</si>
  <si>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</si>
  <si>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</si>
  <si>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</si>
  <si>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</si>
  <si>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</si>
  <si>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</si>
  <si>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</si>
  <si>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</si>
  <si>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</si>
  <si>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</si>
  <si>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</si>
  <si>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</si>
  <si>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</si>
  <si>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</si>
  <si>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</si>
  <si>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</si>
  <si>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</si>
  <si>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</si>
  <si>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</si>
  <si>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</si>
  <si>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</si>
  <si>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</si>
  <si>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</si>
  <si>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</si>
  <si>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</si>
  <si>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</si>
  <si>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</si>
  <si>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</si>
  <si>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</si>
  <si>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</si>
  <si>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</si>
  <si>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</si>
  <si>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</si>
  <si>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</si>
  <si>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</si>
  <si>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</si>
  <si>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</si>
  <si>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</si>
  <si>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</si>
  <si>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</si>
  <si>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</si>
  <si>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</si>
  <si>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</si>
  <si>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</si>
  <si>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</si>
  <si>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</si>
  <si>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</si>
  <si>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</si>
  <si>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</si>
  <si>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</si>
  <si>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</si>
  <si>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</si>
  <si>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</si>
  <si>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</si>
  <si>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</si>
  <si>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</si>
  <si>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</si>
  <si>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</si>
  <si>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</si>
  <si>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</si>
  <si>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</si>
  <si>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</si>
  <si>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</si>
  <si>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</si>
  <si>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</si>
  <si>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</si>
  <si>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</si>
  <si>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</si>
  <si>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</si>
  <si>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</si>
  <si>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</si>
  <si>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</si>
  <si>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</si>
  <si>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</si>
  <si>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</si>
  <si>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</si>
  <si>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</si>
  <si>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</si>
  <si>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</si>
  <si>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</si>
  <si>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</si>
  <si>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</si>
  <si>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</si>
  <si>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</si>
  <si>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</si>
  <si>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</si>
  <si>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</si>
  <si>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</si>
  <si>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</si>
  <si>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</si>
  <si>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</si>
  <si>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</si>
  <si>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</si>
  <si>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</si>
  <si>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</si>
  <si>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</si>
  <si>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</si>
  <si>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</si>
  <si>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</si>
  <si>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</si>
  <si>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</si>
  <si>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</si>
  <si>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</si>
  <si>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</si>
  <si>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</si>
  <si>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</si>
  <si>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</si>
  <si>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</si>
  <si>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</si>
  <si>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</si>
  <si>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</si>
  <si>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</si>
  <si>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</si>
  <si>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</si>
  <si>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</si>
  <si>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</si>
  <si>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</si>
  <si>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</si>
  <si>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</si>
  <si>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</si>
  <si>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</si>
  <si>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</si>
  <si>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</si>
  <si>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</si>
  <si>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</si>
  <si>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</si>
  <si>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</si>
  <si>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</si>
  <si>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</si>
  <si>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</si>
  <si>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</si>
  <si>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</si>
  <si>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</si>
  <si>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</si>
  <si>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</si>
  <si>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</si>
  <si>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</si>
  <si>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</si>
  <si>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</si>
  <si>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</si>
  <si>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</si>
  <si>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</si>
  <si>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</si>
  <si>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</si>
  <si>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</si>
  <si>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</si>
  <si>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</si>
  <si>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</si>
  <si>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</si>
  <si>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</si>
  <si>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</si>
  <si>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</si>
  <si>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</si>
  <si>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</si>
  <si>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</si>
  <si>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</si>
  <si>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</si>
  <si>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</si>
  <si>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</si>
  <si>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</si>
  <si>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</si>
  <si>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</si>
  <si>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</si>
  <si>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</si>
  <si>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</si>
  <si>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</si>
  <si>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</si>
  <si>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</si>
  <si>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</si>
  <si>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</si>
  <si>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</si>
  <si>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</si>
  <si>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</si>
  <si>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</si>
  <si>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</si>
  <si>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</si>
  <si>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</si>
  <si>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</si>
  <si>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</si>
  <si>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</si>
  <si>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</si>
  <si>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</si>
  <si>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</si>
  <si>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</si>
  <si>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</si>
  <si>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</si>
  <si>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</si>
  <si>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</si>
  <si>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</si>
  <si>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</si>
  <si>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</si>
  <si>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</si>
  <si>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</si>
  <si>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</si>
  <si>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</si>
  <si>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</si>
  <si>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</si>
  <si>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</si>
  <si>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</si>
  <si>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</si>
  <si>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</si>
  <si>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</si>
  <si>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</si>
  <si>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</si>
  <si>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</si>
  <si>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</si>
  <si>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</si>
  <si>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</si>
  <si>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</si>
  <si>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</si>
  <si>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</si>
  <si>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</si>
  <si>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</si>
  <si>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</si>
  <si>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</si>
  <si>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</si>
  <si>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</si>
  <si>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</si>
  <si>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</si>
  <si>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</si>
  <si>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</si>
  <si>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</si>
  <si>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</si>
  <si>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</si>
  <si>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</si>
  <si>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</si>
  <si>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</si>
  <si>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</si>
  <si>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</si>
  <si>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</si>
  <si>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</si>
  <si>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</si>
  <si>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</si>
  <si>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</si>
  <si>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</si>
  <si>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</si>
  <si>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</si>
  <si>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</si>
  <si>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</si>
  <si>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</si>
  <si>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</si>
  <si>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</si>
  <si>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</si>
  <si>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</si>
  <si>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</si>
  <si>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</si>
  <si>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</si>
  <si>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</si>
  <si>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</si>
  <si>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</si>
  <si>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</si>
  <si>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</si>
  <si>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</si>
  <si>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</si>
  <si>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</si>
  <si>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</si>
  <si>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</si>
  <si>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</si>
  <si>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</si>
  <si>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</si>
  <si>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</si>
  <si>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</si>
  <si>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</si>
  <si>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</si>
  <si>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</si>
  <si>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</si>
  <si>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</si>
  <si>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</si>
  <si>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</si>
  <si>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</si>
  <si>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</si>
  <si>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</si>
  <si>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</si>
  <si>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</si>
  <si>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</si>
  <si>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</si>
  <si>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</si>
  <si>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</si>
  <si>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</si>
  <si>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</si>
  <si>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</si>
  <si>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</si>
  <si>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</si>
  <si>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</si>
  <si>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</si>
  <si>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</si>
  <si>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</si>
  <si>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</si>
  <si>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</si>
  <si>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</si>
  <si>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</si>
  <si>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</si>
  <si>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</si>
  <si>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</si>
  <si>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</si>
  <si>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</si>
  <si>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</si>
  <si>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</si>
  <si>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</si>
  <si>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</si>
  <si>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</si>
  <si>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</si>
  <si>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</si>
  <si>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</si>
  <si>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</si>
  <si>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</si>
  <si>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</si>
  <si>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</si>
  <si>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</si>
  <si>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</si>
  <si>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</si>
  <si>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</si>
  <si>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</si>
  <si>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</si>
  <si>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</si>
  <si>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</si>
  <si>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</si>
  <si>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</si>
  <si>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</si>
  <si>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</si>
  <si>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</si>
  <si>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</si>
  <si>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</si>
  <si>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</si>
  <si>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</si>
  <si>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</si>
  <si>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</si>
  <si>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</si>
  <si>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</si>
  <si>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</si>
  <si>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</si>
  <si>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</si>
  <si>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</si>
  <si>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</si>
  <si>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</si>
  <si>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</si>
  <si>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</si>
  <si>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</si>
  <si>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</si>
  <si>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</si>
  <si>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</si>
  <si>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</si>
  <si>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</si>
  <si>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</si>
  <si>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</si>
  <si>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</si>
  <si>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</si>
  <si>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</si>
  <si>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</si>
  <si>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</si>
  <si>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</si>
  <si>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</si>
  <si>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</si>
  <si>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</si>
  <si>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</si>
  <si>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</si>
  <si>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</si>
  <si>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</si>
  <si>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</si>
  <si>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</si>
  <si>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</si>
  <si>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</si>
  <si>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</si>
  <si>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</si>
  <si>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</si>
  <si>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</si>
  <si>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</si>
  <si>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</si>
  <si>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</si>
  <si>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</si>
  <si>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</si>
  <si>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</si>
  <si>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</si>
  <si>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</si>
  <si>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</si>
  <si>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</si>
  <si>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</si>
  <si>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</si>
  <si>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</si>
  <si>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</si>
  <si>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</si>
  <si>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</si>
  <si>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</si>
  <si>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</si>
  <si>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</si>
  <si>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</si>
  <si>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</si>
  <si>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</si>
  <si>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</si>
  <si>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</si>
  <si>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</si>
  <si>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</si>
  <si>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</si>
  <si>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</si>
  <si>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</si>
  <si>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</si>
  <si>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</si>
  <si>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</si>
  <si>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</si>
  <si>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</si>
  <si>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</si>
  <si>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</si>
  <si>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</si>
  <si>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</si>
  <si>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</si>
  <si>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</si>
  <si>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</si>
  <si>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</si>
  <si>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</si>
  <si>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</si>
  <si>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</si>
  <si>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</si>
  <si>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</si>
  <si>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</si>
  <si>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</si>
  <si>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</si>
  <si>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</si>
  <si>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</si>
  <si>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</si>
  <si>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</si>
  <si>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</si>
  <si>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</si>
  <si>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</si>
  <si>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</si>
  <si>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</si>
  <si>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</si>
  <si>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</si>
  <si>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</si>
  <si>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</si>
  <si>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</si>
  <si>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</si>
  <si>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</si>
  <si>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</si>
  <si>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</si>
  <si>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</si>
  <si>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</si>
  <si>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</si>
  <si>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</si>
  <si>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</si>
  <si>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</si>
  <si>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</si>
  <si>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</si>
  <si>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</si>
  <si>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</si>
  <si>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</si>
  <si>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</si>
  <si>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</si>
  <si>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</si>
  <si>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</si>
  <si>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</si>
  <si>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</si>
  <si>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</si>
  <si>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</si>
  <si>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</si>
  <si>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</si>
  <si>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</si>
  <si>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</si>
  <si>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</si>
  <si>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</si>
  <si>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</si>
  <si>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</si>
  <si>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</si>
  <si>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</si>
  <si>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</si>
  <si>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</si>
  <si>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</si>
  <si>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</si>
  <si>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</si>
  <si>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</si>
  <si>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</si>
  <si>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</si>
  <si>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</si>
  <si>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</si>
  <si>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</si>
  <si>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</si>
  <si>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</si>
  <si>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</si>
  <si>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</si>
  <si>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</si>
  <si>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</si>
  <si>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</si>
  <si>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</si>
  <si>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</si>
  <si>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</si>
  <si>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</si>
  <si>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</si>
  <si>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</si>
  <si>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</si>
  <si>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</si>
  <si>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</si>
  <si>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</si>
  <si>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</si>
  <si>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</si>
  <si>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</si>
  <si>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</si>
  <si>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</si>
  <si>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</si>
  <si>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</si>
  <si>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</si>
  <si>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</si>
  <si>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</si>
  <si>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</si>
  <si>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</si>
  <si>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</si>
  <si>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</si>
  <si>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</si>
  <si>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</si>
  <si>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</si>
  <si>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</si>
  <si>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</si>
  <si>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</si>
  <si>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</si>
  <si>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</si>
  <si>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</si>
  <si>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</si>
  <si>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</si>
  <si>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</si>
  <si>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</si>
  <si>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</si>
  <si>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</si>
  <si>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</si>
  <si>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</si>
  <si>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</si>
  <si>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</si>
  <si>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</si>
  <si>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</si>
  <si>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</si>
  <si>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</si>
  <si>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</si>
  <si>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</si>
  <si>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</si>
  <si>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</si>
  <si>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</si>
  <si>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</si>
  <si>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</si>
  <si>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</si>
  <si>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</si>
  <si>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</si>
  <si>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</si>
  <si>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</si>
  <si>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</si>
  <si>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</si>
  <si>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</si>
  <si>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</si>
  <si>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</si>
  <si>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</si>
  <si>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</si>
  <si>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</si>
  <si>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</si>
  <si>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</si>
  <si>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</si>
  <si>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</si>
  <si>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</si>
  <si>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</si>
  <si>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</si>
  <si>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</si>
  <si>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</si>
  <si>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</si>
  <si>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</si>
  <si>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</si>
  <si>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</si>
  <si>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</si>
  <si>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</si>
  <si>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</si>
  <si>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</si>
  <si>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</si>
  <si>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</si>
  <si>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</si>
  <si>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</si>
  <si>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</si>
  <si>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</si>
  <si>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</si>
  <si>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</si>
  <si>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</si>
  <si>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</si>
  <si>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</si>
  <si>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</si>
  <si>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</si>
  <si>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</si>
  <si>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</si>
  <si>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</si>
  <si>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</si>
  <si>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Съставител: Николина Лексин</t>
  </si>
  <si>
    <t>Ръководител: Пол Райли</t>
  </si>
  <si>
    <t>Николина Лексин</t>
  </si>
  <si>
    <t>Пол Райли</t>
  </si>
  <si>
    <t xml:space="preserve"> Ръководител: ......</t>
  </si>
  <si>
    <t>Съставител: ......</t>
  </si>
  <si>
    <t xml:space="preserve">                                    Съставител: ………Николина Лексин                 </t>
  </si>
  <si>
    <t>Ръководител:  Пол Райли</t>
  </si>
  <si>
    <t xml:space="preserve">Съставител:      </t>
  </si>
  <si>
    <t>Съставител: ……………………Николина Лексин</t>
  </si>
  <si>
    <t>Ръководител: …………………..Пол Райли</t>
  </si>
  <si>
    <t>01.01.2014 - 31.03.2014</t>
  </si>
  <si>
    <t>Дата на съставяне: 29.04.2014г.</t>
  </si>
  <si>
    <t>29.04.2014</t>
  </si>
  <si>
    <t xml:space="preserve">Дата  на съставяне: 29.04.2014  г.                                                                               </t>
  </si>
  <si>
    <t xml:space="preserve">Дата на съставяне:             29.04.2014 г.                          </t>
  </si>
  <si>
    <t>Дата на съставяне: 29.04.2014</t>
  </si>
  <si>
    <t xml:space="preserve">Дата на съставяне: 29.04.2014                        </t>
  </si>
  <si>
    <t>Дата на съставяне:  29.04.2014</t>
  </si>
  <si>
    <r>
      <t xml:space="preserve">Дата на съставяне: </t>
    </r>
    <r>
      <rPr>
        <sz val="10"/>
        <rFont val="Times New Roman"/>
        <family val="1"/>
      </rPr>
      <t>29.04.2014</t>
    </r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</si>
</sst>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81">
      <selection activeCell="G64" sqref="G64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200341288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-296</v>
      </c>
      <c r="H27" s="208">
        <f>SUM(H28:H30)</f>
        <v>-296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-296</v>
      </c>
      <c r="H29" s="391">
        <v>-296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-17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-313</v>
      </c>
      <c r="H33" s="208">
        <f>H27+H31+H32</f>
        <v>-296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-263</v>
      </c>
      <c r="H36" s="208">
        <f>H25+H17+H33</f>
        <v>-246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237</v>
      </c>
      <c r="H43" s="206">
        <v>157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237</v>
      </c>
      <c r="H49" s="208">
        <f>SUM(H43:H48)</f>
        <v>157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237</v>
      </c>
      <c r="H55" s="208">
        <f>H49+H51+H52+H53+H54</f>
        <v>157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32</v>
      </c>
      <c r="H61" s="208">
        <f>SUM(H62:H68)</f>
        <v>100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25</v>
      </c>
      <c r="H64" s="206">
        <v>97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5</v>
      </c>
      <c r="H66" s="206">
        <v>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2</v>
      </c>
      <c r="H67" s="206">
        <v>1</v>
      </c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8</v>
      </c>
      <c r="H69" s="206">
        <v>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40</v>
      </c>
      <c r="H71" s="215">
        <f>H59+H60+H61+H69+H70</f>
        <v>109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</v>
      </c>
      <c r="D72" s="205">
        <v>11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</v>
      </c>
      <c r="D75" s="209">
        <f>SUM(D67:D74)</f>
        <v>11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40</v>
      </c>
      <c r="H79" s="216">
        <f>H71+H74+H75+H76</f>
        <v>109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8</v>
      </c>
      <c r="D89" s="205">
        <v>8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</v>
      </c>
      <c r="D91" s="209">
        <f>SUM(D87:D90)</f>
        <v>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14</v>
      </c>
      <c r="D93" s="209">
        <f>D64+D75+D84+D91+D92</f>
        <v>20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14</v>
      </c>
      <c r="D94" s="218">
        <f>D93+D55</f>
        <v>20</v>
      </c>
      <c r="E94" s="558" t="s">
        <v>270</v>
      </c>
      <c r="F94" s="345" t="s">
        <v>271</v>
      </c>
      <c r="G94" s="219">
        <f>G36+G39+G55+G79</f>
        <v>14</v>
      </c>
      <c r="H94" s="219">
        <f>H36+H39+H55+H79</f>
        <v>20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598" t="s">
        <v>857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858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31">
      <selection activeCell="C12" sqref="C12:C1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2" t="s">
        <v>2</v>
      </c>
      <c r="G2" s="602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01.01.2014 - 31.03.2014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7</v>
      </c>
      <c r="D10" s="79">
        <v>227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9</v>
      </c>
      <c r="D12" s="79">
        <v>23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1</v>
      </c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17</v>
      </c>
      <c r="D19" s="82">
        <f>SUM(D9:D15)+D16</f>
        <v>250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>
        <v>5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17</v>
      </c>
      <c r="D28" s="83">
        <f>D26+D19</f>
        <v>255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17</v>
      </c>
      <c r="H30" s="90">
        <f>IF((D28-H28)&gt;0,D28-H28,0)</f>
        <v>255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17</v>
      </c>
      <c r="D33" s="82">
        <f>D28-D31+D32</f>
        <v>255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17</v>
      </c>
      <c r="H34" s="88">
        <f>IF((D33-H33)&gt;0,D33-H33,0)</f>
        <v>255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17</v>
      </c>
      <c r="H39" s="91">
        <f>IF(H34&gt;0,IF(D35+H34&lt;0,0,D35+H34),IF(D34-D35&lt;0,D35-D34,0))</f>
        <v>255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17</v>
      </c>
      <c r="H41" s="85">
        <f>IF(D39=0,IF(H39-H40&gt;0,H39-H40+D40,0),IF(D39-D40&lt;0,D40-D39+H40,0))</f>
        <v>255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</v>
      </c>
      <c r="D42" s="86">
        <f>D33+D35+D39</f>
        <v>255</v>
      </c>
      <c r="E42" s="177" t="s">
        <v>378</v>
      </c>
      <c r="F42" s="178" t="s">
        <v>379</v>
      </c>
      <c r="G42" s="90">
        <f>G39+G33</f>
        <v>17</v>
      </c>
      <c r="H42" s="90">
        <f>H39+H33</f>
        <v>255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600" t="s">
        <v>859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860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6">
      <selection activeCell="C14" sqref="C14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01.01.2014 - 31.03.2014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-80</v>
      </c>
      <c r="D11" s="92">
        <v>-47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-6</v>
      </c>
      <c r="D13" s="92">
        <v>-1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10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-76</v>
      </c>
      <c r="D20" s="93">
        <f>SUM(D10:D19)</f>
        <v>-48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80</v>
      </c>
      <c r="D36" s="92">
        <v>39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80</v>
      </c>
      <c r="D42" s="93">
        <f>SUM(D34:D41)</f>
        <v>39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4</v>
      </c>
      <c r="D43" s="93">
        <f>D42+D32+D20</f>
        <v>-9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9</v>
      </c>
      <c r="D44" s="184">
        <v>10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13</v>
      </c>
      <c r="D45" s="93">
        <f>D44+D43</f>
        <v>1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859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3" t="s">
        <v>860</v>
      </c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C41" sqref="C4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МАДАРА ЮРЪП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01.01.2014 - 31.03.2014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-296</v>
      </c>
      <c r="K11" s="98"/>
      <c r="L11" s="424">
        <f>SUM(C11:K11)</f>
        <v>-246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-296</v>
      </c>
      <c r="K15" s="99">
        <f t="shared" si="2"/>
        <v>0</v>
      </c>
      <c r="L15" s="424">
        <f t="shared" si="1"/>
        <v>-246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-17</v>
      </c>
      <c r="K16" s="98"/>
      <c r="L16" s="424">
        <f t="shared" si="1"/>
        <v>-17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-313</v>
      </c>
      <c r="K29" s="97">
        <f t="shared" si="6"/>
        <v>0</v>
      </c>
      <c r="L29" s="424">
        <f t="shared" si="1"/>
        <v>-263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-313</v>
      </c>
      <c r="K32" s="97">
        <f t="shared" si="7"/>
        <v>0</v>
      </c>
      <c r="L32" s="424">
        <f t="shared" si="1"/>
        <v>-263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871</v>
      </c>
      <c r="B35" s="37"/>
      <c r="C35" s="24"/>
      <c r="D35" s="605" t="s">
        <v>862</v>
      </c>
      <c r="E35" s="605"/>
      <c r="F35" s="605" t="s">
        <v>859</v>
      </c>
      <c r="G35" s="605"/>
      <c r="H35" s="605"/>
      <c r="I35" s="605"/>
      <c r="J35" s="24" t="s">
        <v>861</v>
      </c>
      <c r="K35" s="24"/>
      <c r="L35" s="605" t="s">
        <v>860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I24" sqref="I2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4" t="s">
        <v>383</v>
      </c>
      <c r="B2" s="615"/>
      <c r="C2" s="585"/>
      <c r="D2" s="585"/>
      <c r="E2" s="606" t="str">
        <f>'справка №1-БАЛАНС'!E3</f>
        <v>МАДАРА ЮРЪП АД</v>
      </c>
      <c r="F2" s="616"/>
      <c r="G2" s="616"/>
      <c r="H2" s="585"/>
      <c r="I2" s="441"/>
      <c r="J2" s="441"/>
      <c r="K2" s="441"/>
      <c r="L2" s="441"/>
      <c r="M2" s="609" t="s">
        <v>2</v>
      </c>
      <c r="N2" s="610"/>
      <c r="O2" s="610"/>
      <c r="P2" s="611">
        <f>'справка №1-БАЛАНС'!H3</f>
        <v>200341288</v>
      </c>
      <c r="Q2" s="611"/>
      <c r="R2" s="353"/>
    </row>
    <row r="3" spans="1:18" ht="15">
      <c r="A3" s="614" t="s">
        <v>5</v>
      </c>
      <c r="B3" s="615"/>
      <c r="C3" s="586"/>
      <c r="D3" s="586"/>
      <c r="E3" s="606" t="str">
        <f>'справка №1-БАЛАНС'!E5</f>
        <v>01.01.2014 - 31.03.2014</v>
      </c>
      <c r="F3" s="617"/>
      <c r="G3" s="617"/>
      <c r="H3" s="443"/>
      <c r="I3" s="443"/>
      <c r="J3" s="443"/>
      <c r="K3" s="443"/>
      <c r="L3" s="443"/>
      <c r="M3" s="612" t="s">
        <v>4</v>
      </c>
      <c r="N3" s="612"/>
      <c r="O3" s="577"/>
      <c r="P3" s="613" t="str">
        <f>'справка №1-БАЛАНС'!H4</f>
        <v> </v>
      </c>
      <c r="Q3" s="613"/>
      <c r="R3" s="354"/>
    </row>
    <row r="4" spans="1:18" ht="12.75">
      <c r="A4" s="436" t="s">
        <v>522</v>
      </c>
      <c r="B4" s="442"/>
      <c r="C4" s="442"/>
      <c r="D4" s="443"/>
      <c r="E4" s="618"/>
      <c r="F4" s="619"/>
      <c r="G4" s="61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0" t="s">
        <v>463</v>
      </c>
      <c r="B5" s="621"/>
      <c r="C5" s="62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2"/>
      <c r="B6" s="623"/>
      <c r="C6" s="62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874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6"/>
      <c r="L44" s="626"/>
      <c r="M44" s="626"/>
      <c r="N44" s="626"/>
      <c r="O44" s="610" t="s">
        <v>864</v>
      </c>
      <c r="P44" s="615"/>
      <c r="Q44" s="615"/>
      <c r="R44" s="61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C90" sqref="C9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3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01.01.2014 - 31.03.2014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</v>
      </c>
      <c r="D33" s="150">
        <f>SUM(D34:D37)</f>
        <v>0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</v>
      </c>
      <c r="D35" s="153"/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</v>
      </c>
      <c r="D43" s="149">
        <f>D24+D28+D29+D31+D30+D32+D33+D38</f>
        <v>0</v>
      </c>
      <c r="E43" s="164">
        <f>E24+E28+E29+E31+E30+E32+E33+E38</f>
        <v>2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</v>
      </c>
      <c r="D44" s="148">
        <f>D43+D21+D19+D9</f>
        <v>0</v>
      </c>
      <c r="E44" s="164">
        <f>E43+E21+E19+E9</f>
        <v>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237</v>
      </c>
      <c r="D52" s="148">
        <f>SUM(D53:D55)</f>
        <v>0</v>
      </c>
      <c r="E52" s="165">
        <f>C52-D52</f>
        <v>237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237</v>
      </c>
      <c r="D53" s="153"/>
      <c r="E53" s="165">
        <f>C53-D53</f>
        <v>237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237</v>
      </c>
      <c r="D66" s="148">
        <f>D52+D56+D61+D62+D63+D64</f>
        <v>0</v>
      </c>
      <c r="E66" s="165">
        <f t="shared" si="1"/>
        <v>237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32</v>
      </c>
      <c r="D85" s="149">
        <f>SUM(D86:D90)+D94</f>
        <v>1</v>
      </c>
      <c r="E85" s="149">
        <f>SUM(E86:E90)+E94</f>
        <v>31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25</v>
      </c>
      <c r="D87" s="153">
        <v>1</v>
      </c>
      <c r="E87" s="165">
        <f t="shared" si="1"/>
        <v>24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5</v>
      </c>
      <c r="D89" s="153"/>
      <c r="E89" s="165">
        <f t="shared" si="1"/>
        <v>5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2</v>
      </c>
      <c r="D94" s="153"/>
      <c r="E94" s="165">
        <f t="shared" si="1"/>
        <v>2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</v>
      </c>
      <c r="D95" s="153"/>
      <c r="E95" s="165">
        <f t="shared" si="1"/>
        <v>8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40</v>
      </c>
      <c r="D96" s="149">
        <f>D85+D80+D75+D71+D95</f>
        <v>1</v>
      </c>
      <c r="E96" s="149">
        <f>E85+E80+E75+E71+E95</f>
        <v>39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277</v>
      </c>
      <c r="D97" s="149">
        <f>D96+D68+D66</f>
        <v>1</v>
      </c>
      <c r="E97" s="149">
        <f>E96+E68+E66</f>
        <v>276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873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МАДАРА ЮРЪП АД</v>
      </c>
      <c r="D4" s="617"/>
      <c r="E4" s="617"/>
      <c r="F4" s="578"/>
      <c r="G4" s="580" t="s">
        <v>2</v>
      </c>
      <c r="H4" s="580"/>
      <c r="I4" s="589">
        <f>'справка №1-БАЛАНС'!H3</f>
        <v>200341288</v>
      </c>
    </row>
    <row r="5" spans="1:9" ht="15">
      <c r="A5" s="522" t="s">
        <v>5</v>
      </c>
      <c r="B5" s="579"/>
      <c r="C5" s="606" t="str">
        <f>'справка №1-БАЛАНС'!E5</f>
        <v>01.01.2014 - 31.03.2014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875</v>
      </c>
      <c r="B30" s="636"/>
      <c r="C30" s="636"/>
      <c r="D30" s="568" t="s">
        <v>865</v>
      </c>
      <c r="E30" s="635" t="s">
        <v>859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МАДАРА ЮРЪП АД</v>
      </c>
      <c r="C5" s="616"/>
      <c r="D5" s="587"/>
      <c r="E5" s="353" t="s">
        <v>2</v>
      </c>
      <c r="F5" s="590">
        <f>'справка №1-БАЛАНС'!H3</f>
        <v>200341288</v>
      </c>
    </row>
    <row r="6" spans="1:13" ht="15" customHeight="1">
      <c r="A6" s="54" t="s">
        <v>819</v>
      </c>
      <c r="B6" s="606" t="str">
        <f>'справка №1-БАЛАНС'!E5</f>
        <v>01.01.2014 - 31.03.2014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876</v>
      </c>
      <c r="B151" s="561"/>
      <c r="C151" s="638" t="s">
        <v>866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867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2014-04-30T14:51:39Z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