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0">'справка № 1-КИС-БАЛАНС'!$A$1:$G$48</definedName>
    <definedName name="_xlnm.Print_Area" localSheetId="3">'справка № 4-КИС-ОСК'!$A$1:$H$41</definedName>
    <definedName name="_xlnm.Print_Titles" localSheetId="0">'справка № 1-КИС-БАЛАНС'!$7:$7</definedName>
    <definedName name="_xlnm.Print_Titles" localSheetId="1">'справка № 2-КИС-ОД'!$10:$10</definedName>
    <definedName name="_xlnm.Print_Titles" localSheetId="2">'справка № 3-КИС-ОПП'!$9:$9</definedName>
    <definedName name="_xlnm.Print_Titles" localSheetId="3">'справка № 4-КИС-ОСК'!$12:$12</definedName>
  </definedNames>
  <calcPr fullCalcOnLoad="1"/>
</workbook>
</file>

<file path=xl/sharedStrings.xml><?xml version="1.0" encoding="utf-8"?>
<sst xmlns="http://schemas.openxmlformats.org/spreadsheetml/2006/main" count="230" uniqueCount="190">
  <si>
    <t xml:space="preserve"> СЧЕТОВОДЕН  БАЛАНС </t>
  </si>
  <si>
    <t>АКТИВИ</t>
  </si>
  <si>
    <t xml:space="preserve">Текущ период </t>
  </si>
  <si>
    <t>Текущ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</si>
  <si>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</si>
  <si>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</si>
  <si>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</si>
  <si>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</si>
  <si>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</si>
  <si>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</si>
  <si>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</si>
  <si>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</si>
  <si>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</si>
  <si>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</si>
  <si>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</si>
  <si>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</si>
  <si>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</si>
  <si>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</si>
  <si>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</si>
  <si>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</si>
  <si>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</si>
  <si>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</si>
  <si>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</si>
  <si>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</si>
  <si>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</si>
  <si>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</si>
  <si>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</si>
  <si>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</si>
  <si>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</si>
  <si>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</si>
  <si>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</si>
  <si>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</si>
  <si>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</si>
  <si>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</si>
  <si>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</si>
  <si>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</si>
  <si>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</si>
  <si>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</si>
  <si>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</si>
  <si>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</si>
  <si>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</si>
  <si>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</si>
  <si>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</si>
  <si>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</si>
  <si>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</si>
  <si>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</si>
  <si>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</si>
  <si>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</si>
  <si>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</si>
  <si>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</si>
  <si>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</si>
  <si>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</si>
  <si>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</si>
  <si>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</si>
  <si>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</si>
  <si>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</si>
  <si>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</si>
  <si>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</si>
  <si>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</si>
  <si>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</si>
  <si>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</si>
  <si>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</si>
  <si>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</si>
  <si>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</si>
  <si>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</si>
  <si>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</si>
  <si>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</si>
  <si>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</si>
  <si>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</si>
  <si>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</si>
  <si>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</si>
  <si>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</si>
  <si>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</si>
  <si>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</si>
  <si>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</si>
  <si>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</si>
  <si>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</si>
  <si>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</si>
  <si>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</si>
  <si>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</si>
  <si>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</si>
  <si>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</si>
  <si>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</si>
  <si>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</si>
  <si>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</si>
  <si>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</si>
  <si>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</si>
  <si>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</si>
  <si>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</si>
  <si>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</si>
  <si>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</si>
  <si>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</si>
  <si>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</si>
  <si>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</si>
  <si>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</si>
  <si>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Съставител: ………………….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</si>
  <si>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</si>
  <si>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</si>
  <si>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</si>
  <si>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</si>
  <si>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</si>
  <si>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</si>
  <si>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</si>
  <si>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</si>
  <si>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</si>
  <si>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</si>
  <si>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</si>
  <si>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</si>
  <si>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</si>
  <si>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</si>
  <si>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</si>
  <si>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</si>
  <si>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</si>
  <si>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</si>
  <si>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</si>
  <si>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</si>
  <si>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</si>
  <si>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</si>
  <si>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</si>
  <si>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</si>
  <si>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</si>
  <si>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</si>
  <si>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</si>
  <si>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</si>
  <si>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</si>
  <si>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</si>
  <si>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</si>
  <si>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</si>
  <si>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</si>
  <si>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</si>
  <si>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</si>
  <si>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</si>
  <si>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</si>
  <si>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</si>
  <si>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</si>
  <si>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</si>
  <si>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</si>
  <si>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</si>
  <si>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</si>
  <si>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</si>
  <si>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</si>
  <si>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</si>
  <si>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</si>
  <si>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</si>
  <si>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</si>
  <si>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</si>
  <si>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</si>
  <si>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</si>
  <si>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</si>
  <si>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</si>
  <si>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</si>
  <si>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</si>
  <si>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</si>
  <si>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</si>
  <si>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</si>
  <si>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</si>
  <si>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</si>
  <si>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</si>
  <si>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</si>
  <si>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</si>
  <si>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</si>
  <si>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</si>
  <si>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</si>
  <si>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</si>
  <si>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</si>
  <si>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</si>
  <si>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</si>
  <si>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</si>
  <si>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</si>
  <si>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</si>
  <si>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</si>
  <si>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</si>
  <si>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</si>
  <si>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В. Загуба преди облагане с данъци</t>
  </si>
  <si>
    <t>ВСИЧКО (Б+Г)</t>
  </si>
  <si>
    <t>/Стоян Тошев/</t>
  </si>
  <si>
    <t>/Eлеонора Стоева/</t>
  </si>
  <si>
    <t>Всичко парични потоци от неспециализирана дейност(В):</t>
  </si>
  <si>
    <t>1. Разходи за материали</t>
  </si>
  <si>
    <t xml:space="preserve">В. Печалба преди облагане с данъци </t>
  </si>
  <si>
    <t>ВСИЧКО (Б+III+Г)</t>
  </si>
  <si>
    <t>Емитиране и обратно изкупуване на акции/дялове</t>
  </si>
  <si>
    <t>Други парични потоци от неспециализирана дейност</t>
  </si>
  <si>
    <t>ЕИК по БУЛСТАТ:131468215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</si>
  <si>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КИС:ТИ БИ АЙ ДИНАМИК</t>
    </r>
  </si>
  <si>
    <t>Отчетен период 31.03.2009</t>
  </si>
  <si>
    <t xml:space="preserve">  Съставител:</t>
  </si>
  <si>
    <t xml:space="preserve">Ръководител: </t>
  </si>
  <si>
    <t>Дата: 21.04.2009 г.</t>
  </si>
  <si>
    <t>/ Елеонора Стоева /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</si>
</sst>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;\(0\)"/>
    <numFmt numFmtId="173" formatCode="[$-402]dd\ mmmm\ yyyy"/>
    <numFmt numFmtId="174" formatCode="#,##0.00000"/>
    <numFmt numFmtId="175" formatCode="#,##0.0000"/>
    <numFmt numFmtId="176" formatCode="0.0000"/>
    <numFmt numFmtId="177" formatCode="#,##0.000"/>
    <numFmt numFmtId="178" formatCode="0.0"/>
    <numFmt numFmtId="179" formatCode="#,##0.0"/>
    <numFmt numFmtId="180" formatCode="0.000000"/>
  </numFmts>
  <fonts count="16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10"/>
      <name val="Times New Roman Cyr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2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24" applyFont="1" applyFill="1" applyAlignment="1">
      <alignment horizontal="left" vertical="justify" wrapText="1"/>
      <protection/>
    </xf>
    <xf numFmtId="0" fontId="2" fillId="0" borderId="0" xfId="21" applyFont="1" applyFill="1" applyBorder="1" applyAlignment="1" applyProtection="1">
      <alignment horizontal="left" vertical="justify" wrapText="1"/>
      <protection locked="0"/>
    </xf>
    <xf numFmtId="0" fontId="2" fillId="0" borderId="1" xfId="21" applyFont="1" applyFill="1" applyBorder="1" applyAlignment="1" applyProtection="1">
      <alignment horizontal="left" vertical="justify" wrapText="1"/>
      <protection locked="0"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2" xfId="21" applyFont="1" applyBorder="1" applyAlignment="1" applyProtection="1">
      <alignment horizontal="center" vertical="center" wrapText="1"/>
      <protection/>
    </xf>
    <xf numFmtId="49" fontId="2" fillId="0" borderId="2" xfId="21" applyNumberFormat="1" applyFont="1" applyBorder="1" applyAlignment="1" applyProtection="1">
      <alignment horizontal="center" vertical="center" wrapText="1"/>
      <protection/>
    </xf>
    <xf numFmtId="0" fontId="2" fillId="2" borderId="2" xfId="21" applyFont="1" applyFill="1" applyBorder="1" applyAlignment="1" applyProtection="1">
      <alignment horizontal="left" vertical="top" wrapText="1"/>
      <protection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2" xfId="21" applyNumberFormat="1" applyFont="1" applyBorder="1" applyAlignment="1" applyProtection="1">
      <alignment horizontal="center" vertical="center" wrapText="1"/>
      <protection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2" fillId="0" borderId="0" xfId="21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/>
    </xf>
    <xf numFmtId="0" fontId="3" fillId="0" borderId="0" xfId="21" applyFont="1" applyAlignment="1" applyProtection="1">
      <alignment horizontal="right" vertical="top"/>
      <protection locked="0"/>
    </xf>
    <xf numFmtId="0" fontId="2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Alignment="1" applyProtection="1">
      <alignment wrapText="1"/>
      <protection locked="0"/>
    </xf>
    <xf numFmtId="0" fontId="2" fillId="0" borderId="2" xfId="23" applyFont="1" applyBorder="1" applyAlignment="1" applyProtection="1">
      <alignment horizontal="center" vertical="center" wrapText="1"/>
      <protection/>
    </xf>
    <xf numFmtId="0" fontId="2" fillId="0" borderId="2" xfId="23" applyFont="1" applyBorder="1" applyAlignment="1" applyProtection="1">
      <alignment vertical="center" wrapText="1"/>
      <protection/>
    </xf>
    <xf numFmtId="0" fontId="3" fillId="3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2" fillId="0" borderId="0" xfId="22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3" fontId="2" fillId="0" borderId="0" xfId="21" applyNumberFormat="1" applyFont="1" applyFill="1" applyBorder="1" applyAlignment="1" applyProtection="1">
      <alignment vertical="top" wrapText="1"/>
      <protection locked="0"/>
    </xf>
    <xf numFmtId="3" fontId="2" fillId="0" borderId="0" xfId="22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0" fontId="2" fillId="3" borderId="2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2" xfId="24" applyFont="1" applyFill="1" applyBorder="1" applyAlignment="1">
      <alignment horizontal="center" vertical="justify" wrapText="1"/>
      <protection/>
    </xf>
    <xf numFmtId="0" fontId="2" fillId="0" borderId="2" xfId="24" applyFont="1" applyFill="1" applyBorder="1" applyAlignment="1">
      <alignment horizontal="left" vertical="justify" wrapText="1"/>
      <protection/>
    </xf>
    <xf numFmtId="0" fontId="3" fillId="0" borderId="2" xfId="24" applyFont="1" applyFill="1" applyBorder="1" applyAlignment="1">
      <alignment horizontal="left" vertical="justify" wrapText="1"/>
      <protection/>
    </xf>
    <xf numFmtId="0" fontId="2" fillId="3" borderId="2" xfId="24" applyFont="1" applyFill="1" applyBorder="1" applyAlignment="1">
      <alignment horizontal="left" vertical="justify" wrapText="1"/>
      <protection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0" fontId="2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3" fontId="3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2" fillId="0" borderId="2" xfId="23" applyNumberFormat="1" applyFont="1" applyBorder="1" applyAlignment="1" applyProtection="1">
      <alignment horizontal="center" vertical="center" wrapText="1"/>
      <protection/>
    </xf>
    <xf numFmtId="3" fontId="2" fillId="0" borderId="0" xfId="23" applyNumberFormat="1" applyFont="1" applyBorder="1" applyAlignment="1" applyProtection="1">
      <alignment horizontal="right" vertical="center" wrapText="1"/>
      <protection locked="0"/>
    </xf>
    <xf numFmtId="3" fontId="3" fillId="0" borderId="0" xfId="23" applyNumberFormat="1" applyFont="1" applyBorder="1" applyAlignment="1" applyProtection="1">
      <alignment horizontal="right"/>
      <protection locked="0"/>
    </xf>
    <xf numFmtId="3" fontId="2" fillId="0" borderId="2" xfId="23" applyNumberFormat="1" applyFont="1" applyBorder="1" applyAlignment="1" applyProtection="1">
      <alignment horizontal="right" vertical="center"/>
      <protection/>
    </xf>
    <xf numFmtId="3" fontId="3" fillId="0" borderId="0" xfId="23" applyNumberFormat="1" applyFont="1" applyAlignment="1" applyProtection="1">
      <alignment horizontal="right"/>
      <protection locked="0"/>
    </xf>
    <xf numFmtId="3" fontId="3" fillId="0" borderId="2" xfId="23" applyNumberFormat="1" applyFont="1" applyBorder="1" applyAlignment="1" applyProtection="1">
      <alignment horizontal="right"/>
      <protection/>
    </xf>
    <xf numFmtId="3" fontId="2" fillId="0" borderId="2" xfId="24" applyNumberFormat="1" applyFont="1" applyFill="1" applyBorder="1" applyAlignment="1">
      <alignment horizontal="center" vertical="justify" wrapText="1"/>
      <protection/>
    </xf>
    <xf numFmtId="3" fontId="7" fillId="0" borderId="0" xfId="0" applyNumberFormat="1" applyFont="1" applyFill="1" applyAlignment="1">
      <alignment vertical="center"/>
    </xf>
    <xf numFmtId="3" fontId="2" fillId="0" borderId="0" xfId="24" applyNumberFormat="1" applyFont="1" applyFill="1" applyAlignment="1">
      <alignment horizontal="left" vertical="justify"/>
      <protection/>
    </xf>
    <xf numFmtId="3" fontId="3" fillId="0" borderId="0" xfId="24" applyNumberFormat="1" applyFont="1" applyFill="1" applyAlignment="1">
      <alignment horizontal="left" vertical="justify"/>
      <protection/>
    </xf>
    <xf numFmtId="3" fontId="2" fillId="0" borderId="0" xfId="21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4" applyNumberFormat="1" applyFont="1" applyFill="1" applyBorder="1" applyAlignment="1" applyProtection="1">
      <alignment horizontal="left" vertical="justify" wrapText="1"/>
      <protection/>
    </xf>
    <xf numFmtId="3" fontId="3" fillId="0" borderId="0" xfId="21" applyNumberFormat="1" applyFont="1" applyFill="1" applyAlignment="1" applyProtection="1">
      <alignment horizontal="left" vertical="justify" wrapText="1"/>
      <protection locked="0"/>
    </xf>
    <xf numFmtId="3" fontId="2" fillId="0" borderId="1" xfId="21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4" applyNumberFormat="1" applyFont="1" applyFill="1" applyBorder="1" applyAlignment="1">
      <alignment horizontal="left" vertical="justify" wrapText="1"/>
      <protection/>
    </xf>
    <xf numFmtId="3" fontId="2" fillId="0" borderId="0" xfId="22" applyNumberFormat="1" applyFont="1" applyFill="1" applyAlignment="1">
      <alignment horizontal="center" vertical="justify" wrapText="1"/>
      <protection/>
    </xf>
    <xf numFmtId="3" fontId="2" fillId="0" borderId="0" xfId="24" applyNumberFormat="1" applyFont="1" applyFill="1" applyBorder="1" applyAlignment="1" applyProtection="1">
      <alignment horizontal="left" wrapText="1"/>
      <protection locked="0"/>
    </xf>
    <xf numFmtId="3" fontId="3" fillId="0" borderId="0" xfId="24" applyNumberFormat="1" applyFont="1" applyFill="1" applyBorder="1" applyAlignment="1" applyProtection="1">
      <alignment horizontal="left"/>
      <protection locked="0"/>
    </xf>
    <xf numFmtId="3" fontId="2" fillId="0" borderId="0" xfId="24" applyNumberFormat="1" applyFont="1" applyFill="1" applyBorder="1" applyAlignment="1" applyProtection="1">
      <alignment horizontal="left"/>
      <protection locked="0"/>
    </xf>
    <xf numFmtId="3" fontId="3" fillId="0" borderId="0" xfId="24" applyNumberFormat="1" applyFont="1" applyFill="1" applyBorder="1" applyAlignment="1" applyProtection="1">
      <alignment/>
      <protection locked="0"/>
    </xf>
    <xf numFmtId="3" fontId="2" fillId="0" borderId="2" xfId="24" applyNumberFormat="1" applyFont="1" applyFill="1" applyBorder="1" applyAlignment="1">
      <alignment horizontal="right" vertical="justify" wrapText="1"/>
      <protection/>
    </xf>
    <xf numFmtId="3" fontId="2" fillId="0" borderId="2" xfId="24" applyNumberFormat="1" applyFont="1" applyFill="1" applyBorder="1" applyAlignment="1" applyProtection="1">
      <alignment horizontal="right" vertical="justify"/>
      <protection/>
    </xf>
    <xf numFmtId="3" fontId="3" fillId="0" borderId="2" xfId="24" applyNumberFormat="1" applyFont="1" applyFill="1" applyBorder="1" applyAlignment="1" applyProtection="1">
      <alignment horizontal="right" vertical="justify"/>
      <protection/>
    </xf>
    <xf numFmtId="3" fontId="3" fillId="0" borderId="2" xfId="24" applyNumberFormat="1" applyFont="1" applyFill="1" applyBorder="1" applyAlignment="1" applyProtection="1">
      <alignment horizontal="right" vertical="justify"/>
      <protection locked="0"/>
    </xf>
    <xf numFmtId="3" fontId="2" fillId="0" borderId="2" xfId="24" applyNumberFormat="1" applyFont="1" applyFill="1" applyBorder="1" applyAlignment="1" applyProtection="1">
      <alignment horizontal="right" vertical="justify"/>
      <protection locked="0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13" fillId="0" borderId="0" xfId="0" applyNumberFormat="1" applyFont="1" applyAlignment="1">
      <alignment/>
    </xf>
    <xf numFmtId="3" fontId="2" fillId="0" borderId="0" xfId="21" applyNumberFormat="1" applyFont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vertical="center" wrapText="1"/>
    </xf>
    <xf numFmtId="3" fontId="3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wrapText="1"/>
    </xf>
    <xf numFmtId="3" fontId="13" fillId="0" borderId="0" xfId="0" applyNumberFormat="1" applyFont="1" applyAlignment="1">
      <alignment wrapText="1"/>
    </xf>
    <xf numFmtId="3" fontId="3" fillId="0" borderId="0" xfId="21" applyNumberFormat="1" applyFont="1" applyAlignment="1" applyProtection="1">
      <alignment horizontal="center" vertical="center" wrapText="1"/>
      <protection locked="0"/>
    </xf>
    <xf numFmtId="3" fontId="12" fillId="0" borderId="2" xfId="0" applyNumberFormat="1" applyFont="1" applyFill="1" applyBorder="1" applyAlignment="1" applyProtection="1">
      <alignment/>
      <protection hidden="1"/>
    </xf>
    <xf numFmtId="3" fontId="12" fillId="0" borderId="2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Alignment="1">
      <alignment/>
    </xf>
    <xf numFmtId="3" fontId="2" fillId="0" borderId="0" xfId="21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wrapText="1"/>
    </xf>
    <xf numFmtId="3" fontId="13" fillId="0" borderId="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3" xfId="0" applyFont="1" applyBorder="1" applyAlignment="1">
      <alignment/>
    </xf>
    <xf numFmtId="3" fontId="2" fillId="0" borderId="4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vertical="center" wrapText="1"/>
    </xf>
    <xf numFmtId="0" fontId="2" fillId="0" borderId="0" xfId="21" applyFont="1" applyBorder="1" applyAlignment="1" applyProtection="1">
      <alignment horizontal="left" vertical="center" wrapText="1"/>
      <protection locked="0"/>
    </xf>
    <xf numFmtId="3" fontId="3" fillId="0" borderId="0" xfId="21" applyNumberFormat="1" applyFont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22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2" fillId="0" borderId="0" xfId="24" applyFont="1" applyFill="1" applyAlignment="1">
      <alignment horizontal="center" vertical="justify" wrapText="1"/>
      <protection/>
    </xf>
    <xf numFmtId="3" fontId="2" fillId="0" borderId="4" xfId="24" applyNumberFormat="1" applyFont="1" applyFill="1" applyBorder="1" applyAlignment="1">
      <alignment horizontal="center" vertical="center" wrapText="1"/>
      <protection/>
    </xf>
    <xf numFmtId="3" fontId="2" fillId="0" borderId="5" xfId="24" applyNumberFormat="1" applyFont="1" applyFill="1" applyBorder="1" applyAlignment="1">
      <alignment horizontal="center" vertical="center" wrapText="1"/>
      <protection/>
    </xf>
    <xf numFmtId="3" fontId="2" fillId="0" borderId="6" xfId="24" applyNumberFormat="1" applyFont="1" applyFill="1" applyBorder="1" applyAlignment="1">
      <alignment horizontal="center" vertical="center" wrapText="1"/>
      <protection/>
    </xf>
    <xf numFmtId="3" fontId="2" fillId="0" borderId="7" xfId="24" applyNumberFormat="1" applyFont="1" applyFill="1" applyBorder="1" applyAlignment="1">
      <alignment horizontal="center" vertical="center" wrapText="1"/>
      <protection/>
    </xf>
    <xf numFmtId="3" fontId="2" fillId="0" borderId="8" xfId="24" applyNumberFormat="1" applyFont="1" applyFill="1" applyBorder="1" applyAlignment="1">
      <alignment horizontal="center" vertical="center" wrapText="1"/>
      <protection/>
    </xf>
    <xf numFmtId="3" fontId="2" fillId="0" borderId="6" xfId="24" applyNumberFormat="1" applyFont="1" applyFill="1" applyBorder="1" applyAlignment="1">
      <alignment horizontal="center" vertical="justify" wrapText="1"/>
      <protection/>
    </xf>
    <xf numFmtId="3" fontId="2" fillId="0" borderId="8" xfId="24" applyNumberFormat="1" applyFont="1" applyFill="1" applyBorder="1" applyAlignment="1">
      <alignment horizontal="center" vertical="justify" wrapText="1"/>
      <protection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2" fillId="0" borderId="0" xfId="21" applyFont="1" applyFill="1" applyBorder="1" applyAlignment="1" applyProtection="1">
      <alignment horizontal="left" vertical="justify" wrapText="1"/>
      <protection locked="0"/>
    </xf>
    <xf numFmtId="0" fontId="2" fillId="0" borderId="6" xfId="24" applyFont="1" applyFill="1" applyBorder="1" applyAlignment="1">
      <alignment horizontal="center" vertical="center" wrapText="1"/>
      <protection/>
    </xf>
    <xf numFmtId="0" fontId="2" fillId="0" borderId="7" xfId="24" applyFont="1" applyFill="1" applyBorder="1" applyAlignment="1">
      <alignment horizontal="center" vertical="center" wrapText="1"/>
      <protection/>
    </xf>
    <xf numFmtId="0" fontId="3" fillId="0" borderId="8" xfId="0" applyFont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workbookViewId="0" topLeftCell="A29">
      <selection activeCell="D48" sqref="D48"/>
    </sheetView>
  </sheetViews>
  <sheetFormatPr defaultColWidth="9.140625" defaultRowHeight="12.75"/>
  <cols>
    <col min="1" max="1" width="35.7109375" style="116" customWidth="1"/>
    <col min="2" max="3" width="9.7109375" style="104" customWidth="1"/>
    <col min="4" max="4" width="44.28125" style="116" customWidth="1"/>
    <col min="5" max="6" width="9.7109375" style="104" customWidth="1"/>
    <col min="7" max="7" width="4.7109375" style="116" customWidth="1"/>
    <col min="8" max="16384" width="9.140625" style="116" customWidth="1"/>
  </cols>
  <sheetData>
    <row r="1" spans="5:6" ht="11.25">
      <c r="E1" s="131" t="s">
        <v>150</v>
      </c>
      <c r="F1" s="131"/>
    </row>
    <row r="2" spans="1:7" ht="12">
      <c r="A2" s="14"/>
      <c r="B2" s="105"/>
      <c r="C2" s="132" t="s">
        <v>0</v>
      </c>
      <c r="D2" s="132"/>
      <c r="E2" s="113"/>
      <c r="F2" s="113"/>
      <c r="G2" s="3"/>
    </row>
    <row r="3" spans="1:7" ht="15" customHeight="1">
      <c r="A3" s="132" t="s">
        <v>184</v>
      </c>
      <c r="B3" s="132"/>
      <c r="C3" s="117"/>
      <c r="D3" s="14"/>
      <c r="E3" s="133" t="s">
        <v>183</v>
      </c>
      <c r="F3" s="133"/>
      <c r="G3" s="133"/>
    </row>
    <row r="4" spans="1:7" ht="15" customHeight="1">
      <c r="A4" s="15" t="s">
        <v>185</v>
      </c>
      <c r="B4" s="106"/>
      <c r="C4" s="106"/>
      <c r="D4" s="16"/>
      <c r="E4" s="113"/>
      <c r="F4" s="113"/>
      <c r="G4" s="3"/>
    </row>
    <row r="5" spans="1:7" ht="15" customHeight="1">
      <c r="A5" s="15"/>
      <c r="B5" s="106"/>
      <c r="C5" s="106"/>
      <c r="D5" s="16"/>
      <c r="E5" s="113"/>
      <c r="F5" s="113"/>
      <c r="G5" s="3"/>
    </row>
    <row r="6" spans="1:7" ht="50.25" customHeight="1">
      <c r="A6" s="17" t="s">
        <v>1</v>
      </c>
      <c r="B6" s="27" t="s">
        <v>2</v>
      </c>
      <c r="C6" s="27" t="s">
        <v>2</v>
      </c>
      <c r="D6" s="18" t="s">
        <v>5</v>
      </c>
      <c r="E6" s="27" t="s">
        <v>3</v>
      </c>
      <c r="F6" s="27" t="s">
        <v>3</v>
      </c>
      <c r="G6" s="3"/>
    </row>
    <row r="7" spans="1:7" ht="12">
      <c r="A7" s="17" t="s">
        <v>4</v>
      </c>
      <c r="B7" s="27">
        <v>1</v>
      </c>
      <c r="C7" s="27">
        <v>1</v>
      </c>
      <c r="D7" s="18" t="s">
        <v>4</v>
      </c>
      <c r="E7" s="27">
        <v>1</v>
      </c>
      <c r="F7" s="27">
        <v>1</v>
      </c>
      <c r="G7" s="3"/>
    </row>
    <row r="8" spans="1:7" ht="12">
      <c r="A8" s="19" t="s">
        <v>6</v>
      </c>
      <c r="B8" s="28"/>
      <c r="C8" s="28"/>
      <c r="D8" s="11" t="s">
        <v>26</v>
      </c>
      <c r="E8" s="28"/>
      <c r="F8" s="28"/>
      <c r="G8" s="3"/>
    </row>
    <row r="9" spans="1:30" ht="12">
      <c r="A9" s="13" t="s">
        <v>27</v>
      </c>
      <c r="B9" s="107"/>
      <c r="C9" s="107"/>
      <c r="D9" s="13" t="s">
        <v>28</v>
      </c>
      <c r="E9" s="107">
        <v>3825202.24</v>
      </c>
      <c r="F9" s="107">
        <v>4698522.36</v>
      </c>
      <c r="G9" s="5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</row>
    <row r="10" spans="1:30" ht="12">
      <c r="A10" s="12" t="s">
        <v>144</v>
      </c>
      <c r="B10" s="108">
        <f>SUM(B11:B12)</f>
        <v>0</v>
      </c>
      <c r="C10" s="108">
        <f>SUM(C11:C12)</f>
        <v>0</v>
      </c>
      <c r="D10" s="13" t="s">
        <v>29</v>
      </c>
      <c r="E10" s="107"/>
      <c r="F10" s="107"/>
      <c r="G10" s="5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30" ht="24">
      <c r="A11" s="12" t="s">
        <v>98</v>
      </c>
      <c r="B11" s="107"/>
      <c r="C11" s="107"/>
      <c r="D11" s="12" t="s">
        <v>143</v>
      </c>
      <c r="E11" s="107">
        <v>1835645.04</v>
      </c>
      <c r="F11" s="107">
        <v>1551396.9</v>
      </c>
      <c r="G11" s="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</row>
    <row r="12" spans="1:30" ht="20.25" customHeight="1">
      <c r="A12" s="12" t="s">
        <v>107</v>
      </c>
      <c r="B12" s="107"/>
      <c r="C12" s="107"/>
      <c r="D12" s="12" t="s">
        <v>30</v>
      </c>
      <c r="E12" s="107"/>
      <c r="F12" s="107"/>
      <c r="G12" s="5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</row>
    <row r="13" spans="1:30" ht="12">
      <c r="A13" s="12" t="s">
        <v>135</v>
      </c>
      <c r="B13" s="107"/>
      <c r="C13" s="107"/>
      <c r="D13" s="12" t="s">
        <v>114</v>
      </c>
      <c r="E13" s="107"/>
      <c r="F13" s="107"/>
      <c r="G13" s="5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</row>
    <row r="14" spans="1:30" ht="12">
      <c r="A14" s="20" t="s">
        <v>10</v>
      </c>
      <c r="B14" s="108">
        <f>+B13+B10</f>
        <v>0</v>
      </c>
      <c r="C14" s="108">
        <f>+C13+C10</f>
        <v>0</v>
      </c>
      <c r="D14" s="20" t="s">
        <v>25</v>
      </c>
      <c r="E14" s="108">
        <f>SUM(E11:E13)</f>
        <v>1835645.04</v>
      </c>
      <c r="F14" s="108">
        <f>SUM(F11:F13)</f>
        <v>1551396.9</v>
      </c>
      <c r="G14" s="5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</row>
    <row r="15" spans="1:30" ht="12">
      <c r="A15" s="13" t="s">
        <v>170</v>
      </c>
      <c r="B15" s="107"/>
      <c r="C15" s="107"/>
      <c r="D15" s="13" t="s">
        <v>31</v>
      </c>
      <c r="E15" s="107"/>
      <c r="F15" s="107"/>
      <c r="G15" s="5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</row>
    <row r="16" spans="1:30" ht="12">
      <c r="A16" s="20" t="s">
        <v>37</v>
      </c>
      <c r="B16" s="108">
        <f>+B15+B14</f>
        <v>0</v>
      </c>
      <c r="C16" s="108">
        <f>+C15+C14</f>
        <v>0</v>
      </c>
      <c r="D16" s="12" t="s">
        <v>32</v>
      </c>
      <c r="E16" s="108">
        <f>SUM(E17:E18)</f>
        <v>-2311352.5</v>
      </c>
      <c r="F16" s="108">
        <f>SUM(F17:F18)</f>
        <v>9232477.92</v>
      </c>
      <c r="G16" s="5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</row>
    <row r="17" spans="1:30" ht="12">
      <c r="A17" s="11" t="s">
        <v>39</v>
      </c>
      <c r="B17" s="107"/>
      <c r="C17" s="107"/>
      <c r="D17" s="12" t="s">
        <v>33</v>
      </c>
      <c r="E17" s="107"/>
      <c r="F17" s="107">
        <v>9232477.92</v>
      </c>
      <c r="G17" s="5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</row>
    <row r="18" spans="1:30" ht="12">
      <c r="A18" s="11" t="s">
        <v>41</v>
      </c>
      <c r="B18" s="107"/>
      <c r="C18" s="107"/>
      <c r="D18" s="12" t="s">
        <v>34</v>
      </c>
      <c r="E18" s="107">
        <v>-2311352.5</v>
      </c>
      <c r="F18" s="107"/>
      <c r="G18" s="5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</row>
    <row r="19" spans="1:30" ht="12">
      <c r="A19" s="10" t="s">
        <v>7</v>
      </c>
      <c r="B19" s="107">
        <v>115.15</v>
      </c>
      <c r="C19" s="107">
        <v>212.98</v>
      </c>
      <c r="D19" s="10" t="s">
        <v>35</v>
      </c>
      <c r="E19" s="107">
        <v>-828022.41</v>
      </c>
      <c r="F19" s="107">
        <v>-11543831</v>
      </c>
      <c r="G19" s="5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</row>
    <row r="20" spans="1:30" ht="12">
      <c r="A20" s="10" t="s">
        <v>8</v>
      </c>
      <c r="B20" s="107">
        <f>32624.27+11820.62</f>
        <v>44444.89</v>
      </c>
      <c r="C20" s="107">
        <f>63252.83+801.16</f>
        <v>64053.990000000005</v>
      </c>
      <c r="D20" s="20" t="s">
        <v>36</v>
      </c>
      <c r="E20" s="108">
        <f>+E19+E16</f>
        <v>-3139374.91</v>
      </c>
      <c r="F20" s="108">
        <f>+F19+F16</f>
        <v>-2311353.08</v>
      </c>
      <c r="G20" s="5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</row>
    <row r="21" spans="1:30" ht="12">
      <c r="A21" s="10" t="s">
        <v>171</v>
      </c>
      <c r="B21" s="107">
        <f>180000+244478.75</f>
        <v>424478.75</v>
      </c>
      <c r="C21" s="107">
        <v>655203.05</v>
      </c>
      <c r="D21" s="21" t="s">
        <v>38</v>
      </c>
      <c r="E21" s="108">
        <f>+E14+E20+E9</f>
        <v>2521472.37</v>
      </c>
      <c r="F21" s="108">
        <f>+F14+F20+F9</f>
        <v>3938566.18</v>
      </c>
      <c r="G21" s="5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</row>
    <row r="22" spans="1:30" ht="12">
      <c r="A22" s="10" t="s">
        <v>134</v>
      </c>
      <c r="B22" s="107"/>
      <c r="C22" s="107"/>
      <c r="D22" s="22"/>
      <c r="E22" s="107"/>
      <c r="F22" s="107"/>
      <c r="G22" s="5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30" ht="12">
      <c r="A23" s="21" t="s">
        <v>10</v>
      </c>
      <c r="B23" s="108">
        <f>SUM(B19:B22)</f>
        <v>469038.79</v>
      </c>
      <c r="C23" s="108">
        <f>SUM(C19:C22)</f>
        <v>719470.02</v>
      </c>
      <c r="D23" s="10"/>
      <c r="E23" s="107"/>
      <c r="F23" s="107"/>
      <c r="G23" s="5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30" ht="12">
      <c r="A24" s="11" t="s">
        <v>116</v>
      </c>
      <c r="B24" s="107"/>
      <c r="C24" s="107"/>
      <c r="D24" s="11" t="s">
        <v>40</v>
      </c>
      <c r="E24" s="107"/>
      <c r="F24" s="107"/>
      <c r="G24" s="5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</row>
    <row r="25" spans="1:30" ht="12">
      <c r="A25" s="10" t="s">
        <v>144</v>
      </c>
      <c r="B25" s="108">
        <f>SUM(B26:B29)</f>
        <v>2055011.84</v>
      </c>
      <c r="C25" s="108">
        <f>SUM(C26:C29)</f>
        <v>3220429.98</v>
      </c>
      <c r="D25" s="23" t="s">
        <v>145</v>
      </c>
      <c r="E25" s="107"/>
      <c r="F25" s="107"/>
      <c r="G25" s="5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</row>
    <row r="26" spans="1:30" ht="12">
      <c r="A26" s="10" t="s">
        <v>98</v>
      </c>
      <c r="B26" s="107">
        <v>2008613.37</v>
      </c>
      <c r="C26" s="107">
        <v>3175993.82</v>
      </c>
      <c r="D26" s="12" t="s">
        <v>131</v>
      </c>
      <c r="E26" s="107">
        <f>SUM(E27:E29)</f>
        <v>6165.05</v>
      </c>
      <c r="F26" s="107">
        <f>SUM(F27:F29)</f>
        <v>9339.03</v>
      </c>
      <c r="G26" s="5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</row>
    <row r="27" spans="1:7" ht="12">
      <c r="A27" s="10" t="s">
        <v>112</v>
      </c>
      <c r="B27" s="28"/>
      <c r="C27" s="28"/>
      <c r="D27" s="12" t="s">
        <v>172</v>
      </c>
      <c r="E27" s="28">
        <v>297.79</v>
      </c>
      <c r="F27" s="28">
        <v>297.79</v>
      </c>
      <c r="G27" s="3"/>
    </row>
    <row r="28" spans="1:7" ht="12">
      <c r="A28" s="10" t="s">
        <v>107</v>
      </c>
      <c r="B28" s="28">
        <f>44956.5+1441.97</f>
        <v>46398.47</v>
      </c>
      <c r="C28" s="28">
        <f>43851.83+584.33</f>
        <v>44436.16</v>
      </c>
      <c r="D28" s="12" t="s">
        <v>100</v>
      </c>
      <c r="E28" s="28">
        <v>5867.26</v>
      </c>
      <c r="F28" s="28">
        <v>9041.24</v>
      </c>
      <c r="G28" s="3"/>
    </row>
    <row r="29" spans="1:7" ht="12">
      <c r="A29" s="10" t="s">
        <v>9</v>
      </c>
      <c r="B29" s="28"/>
      <c r="C29" s="28"/>
      <c r="D29" s="3" t="s">
        <v>111</v>
      </c>
      <c r="E29" s="28"/>
      <c r="F29" s="28"/>
      <c r="G29" s="3"/>
    </row>
    <row r="30" spans="1:7" ht="12">
      <c r="A30" s="10" t="s">
        <v>136</v>
      </c>
      <c r="B30" s="28"/>
      <c r="C30" s="28"/>
      <c r="D30" s="23" t="s">
        <v>127</v>
      </c>
      <c r="E30" s="28">
        <f>141+1800</f>
        <v>1941</v>
      </c>
      <c r="F30" s="28">
        <v>1200</v>
      </c>
      <c r="G30" s="3"/>
    </row>
    <row r="31" spans="1:7" ht="12">
      <c r="A31" s="10" t="s">
        <v>137</v>
      </c>
      <c r="B31" s="28"/>
      <c r="C31" s="28"/>
      <c r="D31" s="3" t="s">
        <v>146</v>
      </c>
      <c r="E31" s="28"/>
      <c r="F31" s="28"/>
      <c r="G31" s="3"/>
    </row>
    <row r="32" spans="1:7" ht="12">
      <c r="A32" s="10" t="s">
        <v>138</v>
      </c>
      <c r="B32" s="28"/>
      <c r="C32" s="28"/>
      <c r="D32" s="23" t="s">
        <v>109</v>
      </c>
      <c r="E32" s="28"/>
      <c r="F32" s="28"/>
      <c r="G32" s="3"/>
    </row>
    <row r="33" spans="1:7" ht="11.25" customHeight="1">
      <c r="A33" s="10" t="s">
        <v>139</v>
      </c>
      <c r="B33" s="28"/>
      <c r="C33" s="28"/>
      <c r="D33" s="23" t="s">
        <v>110</v>
      </c>
      <c r="E33" s="28"/>
      <c r="F33" s="28"/>
      <c r="G33" s="3"/>
    </row>
    <row r="34" spans="1:7" ht="12">
      <c r="A34" s="10" t="s">
        <v>140</v>
      </c>
      <c r="B34" s="28"/>
      <c r="C34" s="28"/>
      <c r="D34" s="23" t="s">
        <v>147</v>
      </c>
      <c r="E34" s="119">
        <v>122</v>
      </c>
      <c r="F34" s="119">
        <v>122</v>
      </c>
      <c r="G34" s="3"/>
    </row>
    <row r="35" spans="1:7" ht="12">
      <c r="A35" s="21" t="s">
        <v>11</v>
      </c>
      <c r="B35" s="109">
        <f>+B25+B30+B31+B32+B33+B34</f>
        <v>2055011.84</v>
      </c>
      <c r="C35" s="109">
        <f>+C25+C30+C31+C32+C33+C34</f>
        <v>3220429.98</v>
      </c>
      <c r="D35" s="10" t="s">
        <v>148</v>
      </c>
      <c r="F35" s="28"/>
      <c r="G35" s="3"/>
    </row>
    <row r="36" spans="1:7" ht="24.75" customHeight="1">
      <c r="A36" s="11" t="s">
        <v>113</v>
      </c>
      <c r="B36" s="28"/>
      <c r="C36" s="28"/>
      <c r="D36" s="23" t="s">
        <v>149</v>
      </c>
      <c r="E36" s="28"/>
      <c r="F36" s="28"/>
      <c r="G36" s="3"/>
    </row>
    <row r="37" spans="1:7" ht="18" customHeight="1">
      <c r="A37" s="12" t="s">
        <v>141</v>
      </c>
      <c r="B37" s="28">
        <f>3517.78+1939.54</f>
        <v>5457.32</v>
      </c>
      <c r="C37" s="28">
        <v>9300.27</v>
      </c>
      <c r="D37" s="23" t="s">
        <v>115</v>
      </c>
      <c r="E37" s="28"/>
      <c r="F37" s="28"/>
      <c r="G37" s="3"/>
    </row>
    <row r="38" spans="1:7" ht="24">
      <c r="A38" s="12" t="s">
        <v>99</v>
      </c>
      <c r="B38" s="28">
        <v>27</v>
      </c>
      <c r="C38" s="28">
        <v>27.2</v>
      </c>
      <c r="D38" s="21" t="s">
        <v>10</v>
      </c>
      <c r="E38" s="109">
        <f>SUM(E25:E37)-E26</f>
        <v>8228.05</v>
      </c>
      <c r="F38" s="109">
        <f>SUM(F25:F37)-F26</f>
        <v>10661.03</v>
      </c>
      <c r="G38" s="3"/>
    </row>
    <row r="39" spans="1:7" ht="12">
      <c r="A39" s="12" t="s">
        <v>142</v>
      </c>
      <c r="B39" s="28"/>
      <c r="C39" s="28"/>
      <c r="D39" s="21" t="s">
        <v>43</v>
      </c>
      <c r="E39" s="109">
        <f>+E38</f>
        <v>8228.05</v>
      </c>
      <c r="F39" s="109">
        <f>+F38</f>
        <v>10661.03</v>
      </c>
      <c r="G39" s="3"/>
    </row>
    <row r="40" spans="1:7" ht="12">
      <c r="A40" s="12" t="s">
        <v>108</v>
      </c>
      <c r="B40" s="28"/>
      <c r="C40" s="28"/>
      <c r="D40" s="10"/>
      <c r="E40" s="28"/>
      <c r="F40" s="28"/>
      <c r="G40" s="3"/>
    </row>
    <row r="41" spans="1:7" ht="12">
      <c r="A41" s="20" t="s">
        <v>12</v>
      </c>
      <c r="B41" s="109">
        <f>SUM(B37:B40)</f>
        <v>5484.32</v>
      </c>
      <c r="C41" s="109">
        <f>SUM(C37:C40)</f>
        <v>9327.470000000001</v>
      </c>
      <c r="D41" s="10"/>
      <c r="E41" s="28"/>
      <c r="F41" s="28"/>
      <c r="G41" s="3"/>
    </row>
    <row r="42" spans="1:7" ht="12">
      <c r="A42" s="13" t="s">
        <v>42</v>
      </c>
      <c r="B42" s="28">
        <v>165</v>
      </c>
      <c r="C42" s="28">
        <v>0</v>
      </c>
      <c r="D42" s="10"/>
      <c r="E42" s="28"/>
      <c r="F42" s="28"/>
      <c r="G42" s="3"/>
    </row>
    <row r="43" spans="1:7" ht="12">
      <c r="A43" s="20" t="s">
        <v>43</v>
      </c>
      <c r="B43" s="109">
        <f>+B23+B35+B41+B42</f>
        <v>2529699.9499999997</v>
      </c>
      <c r="C43" s="109">
        <f>+C23+C35+C41+C42</f>
        <v>3949227.47</v>
      </c>
      <c r="D43" s="10"/>
      <c r="E43" s="28"/>
      <c r="F43" s="28"/>
      <c r="G43" s="3"/>
    </row>
    <row r="44" spans="1:7" ht="12.75" customHeight="1">
      <c r="A44" s="3"/>
      <c r="B44" s="109"/>
      <c r="C44" s="109"/>
      <c r="D44" s="10"/>
      <c r="E44" s="28"/>
      <c r="F44" s="28"/>
      <c r="G44" s="3"/>
    </row>
    <row r="45" spans="1:7" ht="12">
      <c r="A45" s="20" t="s">
        <v>45</v>
      </c>
      <c r="B45" s="108">
        <f>+B43+B16</f>
        <v>2529699.9499999997</v>
      </c>
      <c r="C45" s="108">
        <f>+C43+C16</f>
        <v>3949227.47</v>
      </c>
      <c r="D45" s="20" t="s">
        <v>44</v>
      </c>
      <c r="E45" s="109">
        <f>+E21+E39</f>
        <v>2529700.42</v>
      </c>
      <c r="F45" s="109">
        <f>+F21+F39</f>
        <v>3949227.21</v>
      </c>
      <c r="G45" s="3"/>
    </row>
    <row r="46" spans="1:7" ht="12">
      <c r="A46" s="3"/>
      <c r="B46" s="29"/>
      <c r="C46" s="29"/>
      <c r="D46" s="2"/>
      <c r="E46" s="29"/>
      <c r="F46" s="29"/>
      <c r="G46" s="2"/>
    </row>
    <row r="47" spans="1:7" ht="12">
      <c r="A47" s="5" t="s">
        <v>188</v>
      </c>
      <c r="B47" s="128" t="s">
        <v>186</v>
      </c>
      <c r="C47" s="128"/>
      <c r="D47" s="129" t="s">
        <v>187</v>
      </c>
      <c r="E47" s="129"/>
      <c r="F47" s="31"/>
      <c r="G47" s="2"/>
    </row>
    <row r="48" spans="1:7" ht="12.75" customHeight="1">
      <c r="A48" s="3"/>
      <c r="B48" s="130" t="s">
        <v>176</v>
      </c>
      <c r="C48" s="130"/>
      <c r="D48" s="25" t="s">
        <v>175</v>
      </c>
      <c r="E48" s="29"/>
      <c r="F48" s="29"/>
      <c r="G48" s="2"/>
    </row>
    <row r="49" spans="1:7" ht="12">
      <c r="A49" s="3"/>
      <c r="B49" s="29"/>
      <c r="C49" s="29"/>
      <c r="D49" s="2"/>
      <c r="E49" s="29"/>
      <c r="F49" s="29"/>
      <c r="G49" s="2"/>
    </row>
    <row r="50" spans="4:6" ht="11.25">
      <c r="D50" s="120"/>
      <c r="E50" s="111"/>
      <c r="F50" s="111"/>
    </row>
    <row r="51" spans="1:7" ht="11.25">
      <c r="A51" s="120"/>
      <c r="B51" s="110"/>
      <c r="C51" s="110"/>
      <c r="D51" s="120"/>
      <c r="E51" s="110"/>
      <c r="F51" s="110"/>
      <c r="G51" s="120"/>
    </row>
    <row r="52" ht="11.25">
      <c r="G52" s="120"/>
    </row>
    <row r="53" spans="1:7" ht="11.25">
      <c r="A53" s="120"/>
      <c r="B53" s="110"/>
      <c r="C53" s="110"/>
      <c r="D53" s="120"/>
      <c r="E53" s="110"/>
      <c r="F53" s="110"/>
      <c r="G53" s="120"/>
    </row>
    <row r="54" spans="1:7" ht="11.25">
      <c r="A54" s="120"/>
      <c r="B54" s="110"/>
      <c r="C54" s="110"/>
      <c r="D54" s="120"/>
      <c r="E54" s="110"/>
      <c r="F54" s="110"/>
      <c r="G54" s="120"/>
    </row>
    <row r="55" spans="1:7" ht="11.25">
      <c r="A55" s="120"/>
      <c r="B55" s="110"/>
      <c r="C55" s="110"/>
      <c r="D55" s="120"/>
      <c r="E55" s="110"/>
      <c r="F55" s="110"/>
      <c r="G55" s="120"/>
    </row>
    <row r="56" spans="1:7" ht="11.25">
      <c r="A56" s="120"/>
      <c r="B56" s="110"/>
      <c r="C56" s="110"/>
      <c r="D56" s="120"/>
      <c r="E56" s="110"/>
      <c r="F56" s="110"/>
      <c r="G56" s="120"/>
    </row>
    <row r="57" spans="1:7" ht="11.25">
      <c r="A57" s="120"/>
      <c r="B57" s="110"/>
      <c r="C57" s="110"/>
      <c r="D57" s="120"/>
      <c r="E57" s="110"/>
      <c r="F57" s="110"/>
      <c r="G57" s="120"/>
    </row>
    <row r="58" spans="1:7" ht="11.25">
      <c r="A58" s="120"/>
      <c r="B58" s="110"/>
      <c r="C58" s="110"/>
      <c r="D58" s="120"/>
      <c r="E58" s="110"/>
      <c r="F58" s="110"/>
      <c r="G58" s="120"/>
    </row>
    <row r="59" spans="1:7" ht="11.25">
      <c r="A59" s="120"/>
      <c r="B59" s="110"/>
      <c r="C59" s="110"/>
      <c r="D59" s="120"/>
      <c r="E59" s="110"/>
      <c r="F59" s="110"/>
      <c r="G59" s="120"/>
    </row>
    <row r="60" spans="1:7" ht="11.25">
      <c r="A60" s="120"/>
      <c r="B60" s="110"/>
      <c r="C60" s="110"/>
      <c r="D60" s="121"/>
      <c r="E60" s="110"/>
      <c r="F60" s="110"/>
      <c r="G60" s="120"/>
    </row>
    <row r="61" spans="1:7" s="118" customFormat="1" ht="11.25">
      <c r="A61" s="121"/>
      <c r="B61" s="111"/>
      <c r="C61" s="111"/>
      <c r="D61" s="121"/>
      <c r="E61" s="111"/>
      <c r="F61" s="111"/>
      <c r="G61" s="121"/>
    </row>
    <row r="62" spans="1:7" s="118" customFormat="1" ht="11.25">
      <c r="A62" s="121"/>
      <c r="B62" s="111"/>
      <c r="C62" s="111"/>
      <c r="D62" s="122"/>
      <c r="E62" s="111"/>
      <c r="F62" s="111"/>
      <c r="G62" s="121"/>
    </row>
    <row r="63" spans="2:6" s="118" customFormat="1" ht="11.25">
      <c r="B63" s="112"/>
      <c r="C63" s="112"/>
      <c r="E63" s="112"/>
      <c r="F63" s="112"/>
    </row>
    <row r="64" spans="2:6" s="118" customFormat="1" ht="11.25">
      <c r="B64" s="112"/>
      <c r="C64" s="112"/>
      <c r="E64" s="112"/>
      <c r="F64" s="112"/>
    </row>
    <row r="65" spans="2:6" s="118" customFormat="1" ht="11.25">
      <c r="B65" s="112"/>
      <c r="C65" s="112"/>
      <c r="E65" s="112"/>
      <c r="F65" s="112"/>
    </row>
    <row r="66" spans="2:6" s="118" customFormat="1" ht="11.25">
      <c r="B66" s="112"/>
      <c r="C66" s="112"/>
      <c r="E66" s="112"/>
      <c r="F66" s="112"/>
    </row>
    <row r="67" spans="2:6" s="118" customFormat="1" ht="11.25">
      <c r="B67" s="112"/>
      <c r="C67" s="112"/>
      <c r="E67" s="112"/>
      <c r="F67" s="112"/>
    </row>
    <row r="68" spans="2:6" s="118" customFormat="1" ht="11.25">
      <c r="B68" s="112"/>
      <c r="C68" s="112"/>
      <c r="E68" s="112"/>
      <c r="F68" s="112"/>
    </row>
    <row r="69" spans="2:6" s="118" customFormat="1" ht="11.25">
      <c r="B69" s="112"/>
      <c r="C69" s="112"/>
      <c r="E69" s="112"/>
      <c r="F69" s="112"/>
    </row>
    <row r="70" spans="2:6" s="118" customFormat="1" ht="11.25">
      <c r="B70" s="112"/>
      <c r="C70" s="112"/>
      <c r="E70" s="112"/>
      <c r="F70" s="112"/>
    </row>
    <row r="71" spans="2:6" s="118" customFormat="1" ht="11.25">
      <c r="B71" s="112"/>
      <c r="C71" s="112"/>
      <c r="E71" s="112"/>
      <c r="F71" s="112"/>
    </row>
    <row r="72" spans="2:6" s="118" customFormat="1" ht="11.25">
      <c r="B72" s="112"/>
      <c r="C72" s="112"/>
      <c r="E72" s="112"/>
      <c r="F72" s="112"/>
    </row>
    <row r="73" spans="2:6" s="118" customFormat="1" ht="11.25">
      <c r="B73" s="112"/>
      <c r="C73" s="112"/>
      <c r="E73" s="112"/>
      <c r="F73" s="112"/>
    </row>
  </sheetData>
  <sheetProtection password="CC60" sheet="1" objects="1" scenarios="1"/>
  <mergeCells count="7">
    <mergeCell ref="B47:C47"/>
    <mergeCell ref="D47:E47"/>
    <mergeCell ref="B48:C48"/>
    <mergeCell ref="E1:F1"/>
    <mergeCell ref="C2:D2"/>
    <mergeCell ref="A3:B3"/>
    <mergeCell ref="E3:G3"/>
  </mergeCells>
  <printOptions horizontalCentered="1"/>
  <pageMargins left="0" right="0" top="0.4724409448818898" bottom="0.2755905511811024" header="0.31496062992125984" footer="0.11811023622047245"/>
  <pageSetup fitToHeight="1" fitToWidth="1" horizontalDpi="300" verticalDpi="300" orientation="portrait" paperSize="9" scale="8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6">
      <selection activeCell="C35" sqref="C35:D35"/>
    </sheetView>
  </sheetViews>
  <sheetFormatPr defaultColWidth="9.140625" defaultRowHeight="12.75"/>
  <cols>
    <col min="1" max="1" width="42.7109375" style="3" customWidth="1"/>
    <col min="2" max="2" width="10.7109375" style="73" customWidth="1"/>
    <col min="3" max="3" width="9.7109375" style="73" customWidth="1"/>
    <col min="4" max="4" width="42.7109375" style="3" customWidth="1"/>
    <col min="5" max="5" width="10.7109375" style="73" customWidth="1"/>
    <col min="6" max="6" width="9.7109375" style="73" customWidth="1"/>
    <col min="7" max="16384" width="9.140625" style="3" customWidth="1"/>
  </cols>
  <sheetData>
    <row r="1" spans="5:6" ht="25.5" customHeight="1">
      <c r="E1" s="137" t="s">
        <v>151</v>
      </c>
      <c r="F1" s="137"/>
    </row>
    <row r="2" spans="1:4" ht="12.75" customHeight="1">
      <c r="A2" s="9"/>
      <c r="C2" s="135" t="s">
        <v>13</v>
      </c>
      <c r="D2" s="135"/>
    </row>
    <row r="3" spans="1:4" ht="12.75" customHeight="1">
      <c r="A3" s="9"/>
      <c r="D3" s="33"/>
    </row>
    <row r="4" spans="1:7" ht="12">
      <c r="A4" s="135" t="str">
        <f>'справка № 1-КИС-БАЛАНС'!A3:C3</f>
        <v>Наименование на КИС:ТИ БИ АЙ ДИНАМИК</v>
      </c>
      <c r="B4" s="135"/>
      <c r="C4" s="135"/>
      <c r="E4" s="133" t="s">
        <v>183</v>
      </c>
      <c r="F4" s="133"/>
      <c r="G4" s="133"/>
    </row>
    <row r="5" spans="1:3" ht="12">
      <c r="A5" s="33"/>
      <c r="B5" s="33"/>
      <c r="C5" s="33"/>
    </row>
    <row r="6" spans="1:6" ht="12">
      <c r="A6" s="1" t="str">
        <f>'справка № 1-КИС-БАЛАНС'!A4</f>
        <v>Отчетен период 31.03.2009</v>
      </c>
      <c r="B6" s="78"/>
      <c r="C6" s="78"/>
      <c r="D6" s="34"/>
      <c r="E6" s="129"/>
      <c r="F6" s="129"/>
    </row>
    <row r="7" spans="1:6" ht="12">
      <c r="A7" s="1"/>
      <c r="B7" s="78"/>
      <c r="C7" s="78"/>
      <c r="D7" s="34"/>
      <c r="E7" s="24"/>
      <c r="F7" s="24"/>
    </row>
    <row r="8" spans="1:7" ht="12">
      <c r="A8" s="35"/>
      <c r="B8" s="79"/>
      <c r="C8" s="79"/>
      <c r="D8" s="36"/>
      <c r="E8" s="81"/>
      <c r="F8" s="81"/>
      <c r="G8" s="2"/>
    </row>
    <row r="9" spans="1:7" ht="24">
      <c r="A9" s="37" t="s">
        <v>14</v>
      </c>
      <c r="B9" s="77" t="s">
        <v>2</v>
      </c>
      <c r="C9" s="77" t="s">
        <v>2</v>
      </c>
      <c r="D9" s="37" t="s">
        <v>15</v>
      </c>
      <c r="E9" s="77" t="s">
        <v>2</v>
      </c>
      <c r="F9" s="77" t="s">
        <v>2</v>
      </c>
      <c r="G9" s="2"/>
    </row>
    <row r="10" spans="1:7" ht="12">
      <c r="A10" s="37" t="s">
        <v>4</v>
      </c>
      <c r="B10" s="77">
        <v>1</v>
      </c>
      <c r="C10" s="77">
        <v>1</v>
      </c>
      <c r="D10" s="37" t="s">
        <v>4</v>
      </c>
      <c r="E10" s="77">
        <v>1</v>
      </c>
      <c r="F10" s="77">
        <v>1</v>
      </c>
      <c r="G10" s="2"/>
    </row>
    <row r="11" spans="1:7" ht="18" customHeight="1">
      <c r="A11" s="38" t="s">
        <v>16</v>
      </c>
      <c r="B11" s="80"/>
      <c r="C11" s="80"/>
      <c r="D11" s="38" t="s">
        <v>17</v>
      </c>
      <c r="E11" s="82"/>
      <c r="F11" s="82"/>
      <c r="G11" s="2"/>
    </row>
    <row r="12" spans="1:7" ht="12">
      <c r="A12" s="11" t="s">
        <v>18</v>
      </c>
      <c r="B12" s="70"/>
      <c r="C12" s="70"/>
      <c r="D12" s="11" t="s">
        <v>46</v>
      </c>
      <c r="E12" s="70"/>
      <c r="F12" s="70"/>
      <c r="G12" s="2"/>
    </row>
    <row r="13" spans="1:7" s="5" customFormat="1" ht="12">
      <c r="A13" s="12" t="s">
        <v>19</v>
      </c>
      <c r="B13" s="74"/>
      <c r="C13" s="74"/>
      <c r="D13" s="12" t="s">
        <v>47</v>
      </c>
      <c r="E13" s="74"/>
      <c r="F13" s="74">
        <v>658.33</v>
      </c>
      <c r="G13" s="4"/>
    </row>
    <row r="14" spans="1:7" s="5" customFormat="1" ht="31.5" customHeight="1">
      <c r="A14" s="12" t="s">
        <v>152</v>
      </c>
      <c r="B14" s="74">
        <f>2654854.53+22805.29</f>
        <v>2677659.82</v>
      </c>
      <c r="C14" s="74">
        <v>11156378.6</v>
      </c>
      <c r="D14" s="12" t="s">
        <v>48</v>
      </c>
      <c r="E14" s="74">
        <f>1855245.49+2709.19</f>
        <v>1857954.68</v>
      </c>
      <c r="F14" s="74">
        <v>7249746.31</v>
      </c>
      <c r="G14" s="4"/>
    </row>
    <row r="15" spans="1:7" s="5" customFormat="1" ht="15.75" customHeight="1">
      <c r="A15" s="12" t="s">
        <v>20</v>
      </c>
      <c r="B15" s="74"/>
      <c r="C15" s="74"/>
      <c r="D15" s="12" t="s">
        <v>49</v>
      </c>
      <c r="E15" s="74"/>
      <c r="F15" s="74"/>
      <c r="G15" s="4"/>
    </row>
    <row r="16" spans="1:7" s="5" customFormat="1" ht="12">
      <c r="A16" s="12" t="s">
        <v>153</v>
      </c>
      <c r="B16" s="74">
        <v>76.3</v>
      </c>
      <c r="C16" s="74">
        <v>258244.46</v>
      </c>
      <c r="D16" s="12" t="s">
        <v>158</v>
      </c>
      <c r="E16" s="74">
        <v>11.22</v>
      </c>
      <c r="F16" s="74">
        <v>261105.88</v>
      </c>
      <c r="G16" s="4"/>
    </row>
    <row r="17" spans="1:7" s="5" customFormat="1" ht="12">
      <c r="A17" s="12" t="s">
        <v>21</v>
      </c>
      <c r="B17" s="74">
        <f>846.98+919.36</f>
        <v>1766.3400000000001</v>
      </c>
      <c r="C17" s="74">
        <v>4112.37</v>
      </c>
      <c r="D17" s="23" t="s">
        <v>50</v>
      </c>
      <c r="E17" s="74">
        <f>857.64+8724.47</f>
        <v>9582.109999999999</v>
      </c>
      <c r="F17" s="74">
        <v>43891.53</v>
      </c>
      <c r="G17" s="4"/>
    </row>
    <row r="18" spans="1:7" s="5" customFormat="1" ht="12">
      <c r="A18" s="20"/>
      <c r="B18" s="74"/>
      <c r="C18" s="74"/>
      <c r="D18" s="12" t="s">
        <v>24</v>
      </c>
      <c r="E18" s="74"/>
      <c r="F18" s="74"/>
      <c r="G18" s="4"/>
    </row>
    <row r="19" spans="1:7" s="5" customFormat="1" ht="12">
      <c r="A19" s="20" t="s">
        <v>22</v>
      </c>
      <c r="B19" s="71">
        <f>SUM(B13:B17)-B15</f>
        <v>2679502.4599999995</v>
      </c>
      <c r="C19" s="71">
        <f>SUM(C13:C17)-C15</f>
        <v>11418735.43</v>
      </c>
      <c r="D19" s="20" t="s">
        <v>22</v>
      </c>
      <c r="E19" s="71">
        <f>SUM(E13:E18)-E15</f>
        <v>1867548.01</v>
      </c>
      <c r="F19" s="71">
        <f>SUM(F13:F18)-F15</f>
        <v>7555402.05</v>
      </c>
      <c r="G19" s="4"/>
    </row>
    <row r="20" spans="1:6" s="5" customFormat="1" ht="12.75">
      <c r="A20" s="102" t="s">
        <v>105</v>
      </c>
      <c r="B20" s="114">
        <f>IF(E19-B19&gt;0,E19-B19,0)</f>
        <v>0</v>
      </c>
      <c r="C20" s="114">
        <f>IF(F19-C19&gt;0,F19-C19,0)</f>
        <v>0</v>
      </c>
      <c r="D20" s="103" t="s">
        <v>105</v>
      </c>
      <c r="E20" s="115">
        <f>IF(B19-E19&gt;0,B19-E19,0)</f>
        <v>811954.4499999995</v>
      </c>
      <c r="F20" s="115">
        <f>IF(C19-F19&gt;0,C19-F19,0)</f>
        <v>3863333.38</v>
      </c>
    </row>
    <row r="21" spans="1:6" s="5" customFormat="1" ht="12">
      <c r="A21" s="13" t="s">
        <v>117</v>
      </c>
      <c r="B21" s="74"/>
      <c r="C21" s="74"/>
      <c r="D21" s="13" t="s">
        <v>51</v>
      </c>
      <c r="E21" s="74"/>
      <c r="F21" s="74"/>
    </row>
    <row r="22" spans="1:6" s="5" customFormat="1" ht="12">
      <c r="A22" s="39" t="s">
        <v>178</v>
      </c>
      <c r="B22" s="74"/>
      <c r="C22" s="74"/>
      <c r="D22" s="103"/>
      <c r="E22" s="74"/>
      <c r="F22" s="74"/>
    </row>
    <row r="23" spans="1:6" s="5" customFormat="1" ht="12">
      <c r="A23" s="12" t="s">
        <v>128</v>
      </c>
      <c r="B23" s="74">
        <v>16067.75</v>
      </c>
      <c r="C23" s="74">
        <v>89845.51</v>
      </c>
      <c r="D23" s="13"/>
      <c r="E23" s="74"/>
      <c r="F23" s="74"/>
    </row>
    <row r="24" spans="1:6" s="5" customFormat="1" ht="12">
      <c r="A24" s="12" t="s">
        <v>23</v>
      </c>
      <c r="B24" s="74"/>
      <c r="C24" s="74"/>
      <c r="D24" s="20"/>
      <c r="E24" s="74"/>
      <c r="F24" s="74"/>
    </row>
    <row r="25" spans="1:6" s="5" customFormat="1" ht="12">
      <c r="A25" s="12" t="s">
        <v>154</v>
      </c>
      <c r="B25" s="74"/>
      <c r="C25" s="74"/>
      <c r="D25" s="12"/>
      <c r="E25" s="74"/>
      <c r="F25" s="74"/>
    </row>
    <row r="26" spans="1:6" s="5" customFormat="1" ht="12">
      <c r="A26" s="12" t="s">
        <v>24</v>
      </c>
      <c r="B26" s="74"/>
      <c r="C26" s="74"/>
      <c r="D26" s="12"/>
      <c r="E26" s="74"/>
      <c r="F26" s="74"/>
    </row>
    <row r="27" spans="1:6" s="5" customFormat="1" ht="12">
      <c r="A27" s="20" t="s">
        <v>25</v>
      </c>
      <c r="B27" s="71">
        <f>SUM(B22:B26)</f>
        <v>16067.75</v>
      </c>
      <c r="C27" s="71">
        <f>SUM(C22:C26)</f>
        <v>89845.51</v>
      </c>
      <c r="D27" s="20" t="s">
        <v>25</v>
      </c>
      <c r="E27" s="71">
        <f>E21</f>
        <v>0</v>
      </c>
      <c r="F27" s="71">
        <f>F21</f>
        <v>0</v>
      </c>
    </row>
    <row r="28" spans="1:6" s="5" customFormat="1" ht="24">
      <c r="A28" s="102" t="s">
        <v>106</v>
      </c>
      <c r="B28" s="114">
        <f>IF(E27-B27&gt;0,E27-B27,0)</f>
        <v>0</v>
      </c>
      <c r="C28" s="114">
        <f>IF(F27-C27&gt;0,F27-C27,0)</f>
        <v>0</v>
      </c>
      <c r="D28" s="13" t="s">
        <v>106</v>
      </c>
      <c r="E28" s="115">
        <f>IF(B27-E27&gt;0,B27-E27,0)</f>
        <v>16067.75</v>
      </c>
      <c r="F28" s="115">
        <f>IF(C27-F27&gt;0,C27-F27,0)</f>
        <v>89845.51</v>
      </c>
    </row>
    <row r="29" spans="1:6" s="5" customFormat="1" ht="12">
      <c r="A29" s="13" t="s">
        <v>155</v>
      </c>
      <c r="B29" s="71">
        <f>+B19+B27</f>
        <v>2695570.2099999995</v>
      </c>
      <c r="C29" s="71">
        <f>+C19+C27</f>
        <v>11508580.94</v>
      </c>
      <c r="D29" s="13" t="s">
        <v>52</v>
      </c>
      <c r="E29" s="71">
        <f>+E19+E27</f>
        <v>1867548.01</v>
      </c>
      <c r="F29" s="71">
        <f>+F19+F27</f>
        <v>7555402.05</v>
      </c>
    </row>
    <row r="30" spans="1:6" s="5" customFormat="1" ht="12.75">
      <c r="A30" s="13" t="s">
        <v>179</v>
      </c>
      <c r="B30" s="114">
        <f>IF(E29-B29&gt;0,E29-B29,0)</f>
        <v>0</v>
      </c>
      <c r="C30" s="114">
        <f>IF(F29-C29&gt;0,F29-C29,0)</f>
        <v>0</v>
      </c>
      <c r="D30" s="13" t="s">
        <v>173</v>
      </c>
      <c r="E30" s="115">
        <f>IF(B29-E29&gt;0,B29-E29,0)</f>
        <v>828022.1999999995</v>
      </c>
      <c r="F30" s="115">
        <f>IF(C29-F29&gt;0,C29-F29,0)</f>
        <v>3953178.8899999997</v>
      </c>
    </row>
    <row r="31" spans="1:6" s="5" customFormat="1" ht="18.75" customHeight="1">
      <c r="A31" s="13" t="s">
        <v>156</v>
      </c>
      <c r="B31" s="74"/>
      <c r="C31" s="74"/>
      <c r="D31" s="12"/>
      <c r="E31" s="74"/>
      <c r="F31" s="74"/>
    </row>
    <row r="32" spans="1:6" s="5" customFormat="1" ht="24" customHeight="1">
      <c r="A32" s="13" t="s">
        <v>157</v>
      </c>
      <c r="B32" s="71">
        <f>+B30-B31</f>
        <v>0</v>
      </c>
      <c r="C32" s="71">
        <f>+C30-C31</f>
        <v>0</v>
      </c>
      <c r="D32" s="13" t="s">
        <v>159</v>
      </c>
      <c r="E32" s="115">
        <f>E30</f>
        <v>828022.1999999995</v>
      </c>
      <c r="F32" s="115">
        <f>F30</f>
        <v>3953178.8899999997</v>
      </c>
    </row>
    <row r="33" spans="1:6" s="5" customFormat="1" ht="14.25" customHeight="1">
      <c r="A33" s="40" t="s">
        <v>180</v>
      </c>
      <c r="B33" s="71">
        <f>+B29+B31+B32</f>
        <v>2695570.2099999995</v>
      </c>
      <c r="C33" s="71">
        <f>+C29+C31+C32</f>
        <v>11508580.94</v>
      </c>
      <c r="D33" s="13" t="s">
        <v>174</v>
      </c>
      <c r="E33" s="71">
        <f>+E29+E32</f>
        <v>2695570.2099999995</v>
      </c>
      <c r="F33" s="71">
        <f>+F29+F32</f>
        <v>11508580.94</v>
      </c>
    </row>
    <row r="34" spans="1:6" s="5" customFormat="1" ht="13.5" customHeight="1">
      <c r="A34" s="41"/>
      <c r="B34" s="75"/>
      <c r="C34" s="75"/>
      <c r="D34" s="42"/>
      <c r="E34" s="75"/>
      <c r="F34" s="75"/>
    </row>
    <row r="35" spans="1:6" s="5" customFormat="1" ht="17.25" customHeight="1">
      <c r="A35" s="5" t="str">
        <f>'справка № 1-КИС-БАЛАНС'!A47</f>
        <v>Дата: 21.04.2009 г.</v>
      </c>
      <c r="B35" s="76"/>
      <c r="C35" s="136" t="s">
        <v>53</v>
      </c>
      <c r="D35" s="136"/>
      <c r="E35" s="138" t="s">
        <v>160</v>
      </c>
      <c r="F35" s="138"/>
    </row>
    <row r="36" spans="1:6" s="5" customFormat="1" ht="15.75" customHeight="1">
      <c r="A36" s="4"/>
      <c r="B36" s="75"/>
      <c r="C36" s="75"/>
      <c r="D36" s="30" t="s">
        <v>189</v>
      </c>
      <c r="E36" s="134" t="str">
        <f>'справка № 1-КИС-БАЛАНС'!D48</f>
        <v>/Стоян Тошев/</v>
      </c>
      <c r="F36" s="134"/>
    </row>
    <row r="37" spans="1:6" s="5" customFormat="1" ht="15.75" customHeight="1">
      <c r="A37" s="43"/>
      <c r="B37" s="75"/>
      <c r="C37" s="75"/>
      <c r="D37" s="4"/>
      <c r="E37" s="75"/>
      <c r="F37" s="75"/>
    </row>
    <row r="38" spans="1:6" s="5" customFormat="1" ht="15.75" customHeight="1">
      <c r="A38" s="43"/>
      <c r="B38" s="75"/>
      <c r="C38" s="75"/>
      <c r="D38" s="4"/>
      <c r="E38" s="75"/>
      <c r="F38" s="75"/>
    </row>
    <row r="39" spans="1:6" s="5" customFormat="1" ht="15.75" customHeight="1">
      <c r="A39" s="44"/>
      <c r="B39" s="75"/>
      <c r="C39" s="75"/>
      <c r="D39" s="4"/>
      <c r="E39" s="75"/>
      <c r="F39" s="75"/>
    </row>
    <row r="40" spans="1:6" s="5" customFormat="1" ht="15" customHeight="1">
      <c r="A40" s="4"/>
      <c r="B40" s="75"/>
      <c r="C40" s="75"/>
      <c r="D40" s="4"/>
      <c r="E40" s="75"/>
      <c r="F40" s="75"/>
    </row>
    <row r="41" spans="1:6" s="5" customFormat="1" ht="17.25" customHeight="1">
      <c r="A41" s="4"/>
      <c r="B41" s="75"/>
      <c r="C41" s="75"/>
      <c r="D41" s="4"/>
      <c r="E41" s="75"/>
      <c r="F41" s="75"/>
    </row>
    <row r="42" spans="2:6" s="5" customFormat="1" ht="12">
      <c r="B42" s="76"/>
      <c r="C42" s="76"/>
      <c r="E42" s="76"/>
      <c r="F42" s="76"/>
    </row>
    <row r="43" spans="2:6" s="5" customFormat="1" ht="12">
      <c r="B43" s="76"/>
      <c r="C43" s="76"/>
      <c r="E43" s="76"/>
      <c r="F43" s="76"/>
    </row>
    <row r="44" spans="2:6" s="5" customFormat="1" ht="12.75" customHeight="1">
      <c r="B44" s="76"/>
      <c r="C44" s="76"/>
      <c r="E44" s="76"/>
      <c r="F44" s="76"/>
    </row>
    <row r="45" spans="2:6" s="5" customFormat="1" ht="12">
      <c r="B45" s="76"/>
      <c r="C45" s="76"/>
      <c r="E45" s="76"/>
      <c r="F45" s="76"/>
    </row>
    <row r="46" spans="2:6" s="5" customFormat="1" ht="12">
      <c r="B46" s="76"/>
      <c r="C46" s="76"/>
      <c r="E46" s="76"/>
      <c r="F46" s="76"/>
    </row>
    <row r="47" spans="2:6" s="5" customFormat="1" ht="12">
      <c r="B47" s="76"/>
      <c r="C47" s="76"/>
      <c r="E47" s="76"/>
      <c r="F47" s="76"/>
    </row>
    <row r="48" spans="2:6" s="5" customFormat="1" ht="12">
      <c r="B48" s="76"/>
      <c r="C48" s="76"/>
      <c r="E48" s="76"/>
      <c r="F48" s="76"/>
    </row>
    <row r="49" spans="1:6" s="5" customFormat="1" ht="12">
      <c r="A49" s="3"/>
      <c r="B49" s="76"/>
      <c r="C49" s="76"/>
      <c r="E49" s="76"/>
      <c r="F49" s="76"/>
    </row>
  </sheetData>
  <sheetProtection password="CC60" sheet="1" objects="1" scenarios="1"/>
  <mergeCells count="8">
    <mergeCell ref="E36:F36"/>
    <mergeCell ref="A4:C4"/>
    <mergeCell ref="C35:D35"/>
    <mergeCell ref="E1:F1"/>
    <mergeCell ref="C2:D2"/>
    <mergeCell ref="E6:F6"/>
    <mergeCell ref="E35:F35"/>
    <mergeCell ref="E4:G4"/>
  </mergeCells>
  <printOptions horizontalCentered="1"/>
  <pageMargins left="0" right="0" top="1.220472440944882" bottom="0.3937007874015748" header="0.4724409448818898" footer="0.11811023622047245"/>
  <pageSetup fitToHeight="1" fitToWidth="1" horizontalDpi="300" verticalDpi="300" orientation="portrait" paperSize="9" scale="7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6">
      <selection activeCell="E41" sqref="E41:F41"/>
    </sheetView>
  </sheetViews>
  <sheetFormatPr defaultColWidth="9.140625" defaultRowHeight="12.75"/>
  <cols>
    <col min="1" max="1" width="47.140625" style="3" customWidth="1"/>
    <col min="2" max="2" width="11.7109375" style="26" customWidth="1"/>
    <col min="3" max="3" width="11.00390625" style="26" customWidth="1"/>
    <col min="4" max="4" width="10.7109375" style="26" customWidth="1"/>
    <col min="5" max="5" width="11.7109375" style="26" customWidth="1"/>
    <col min="6" max="6" width="11.00390625" style="26" customWidth="1"/>
    <col min="7" max="7" width="10.7109375" style="26" customWidth="1"/>
    <col min="8" max="16384" width="9.140625" style="3" customWidth="1"/>
  </cols>
  <sheetData>
    <row r="1" spans="1:7" ht="12">
      <c r="A1" s="45"/>
      <c r="B1" s="46"/>
      <c r="C1" s="46"/>
      <c r="D1" s="46"/>
      <c r="E1" s="46"/>
      <c r="F1" s="46"/>
      <c r="G1" s="46"/>
    </row>
    <row r="2" spans="1:7" ht="12">
      <c r="A2" s="142" t="s">
        <v>94</v>
      </c>
      <c r="B2" s="126"/>
      <c r="C2" s="126"/>
      <c r="D2" s="126"/>
      <c r="E2" s="126"/>
      <c r="F2" s="126"/>
      <c r="G2" s="46"/>
    </row>
    <row r="3" spans="1:7" ht="12">
      <c r="A3" s="47"/>
      <c r="B3" s="48"/>
      <c r="C3" s="48"/>
      <c r="D3" s="48"/>
      <c r="E3" s="48"/>
      <c r="F3" s="48"/>
      <c r="G3" s="48"/>
    </row>
    <row r="4" spans="1:7" ht="15" customHeight="1">
      <c r="A4" s="1" t="str">
        <f>'справка № 1-КИС-БАЛАНС'!A3:C3</f>
        <v>Наименование на КИС:ТИ БИ АЙ ДИНАМИК</v>
      </c>
      <c r="B4" s="32"/>
      <c r="D4" s="133" t="s">
        <v>183</v>
      </c>
      <c r="E4" s="133"/>
      <c r="F4" s="133"/>
      <c r="G4" s="46"/>
    </row>
    <row r="5" spans="1:5" ht="12">
      <c r="A5" s="1" t="str">
        <f>'справка № 1-КИС-БАЛАНС'!A4</f>
        <v>Отчетен период 31.03.2009</v>
      </c>
      <c r="B5" s="32"/>
      <c r="E5" s="32"/>
    </row>
    <row r="6" spans="1:7" ht="12">
      <c r="A6" s="1"/>
      <c r="B6" s="32"/>
      <c r="C6" s="49"/>
      <c r="D6" s="50"/>
      <c r="E6" s="32"/>
      <c r="F6" s="49"/>
      <c r="G6" s="50"/>
    </row>
    <row r="7" spans="1:7" ht="13.5" customHeight="1">
      <c r="A7" s="140" t="s">
        <v>80</v>
      </c>
      <c r="B7" s="143" t="s">
        <v>3</v>
      </c>
      <c r="C7" s="143"/>
      <c r="D7" s="143"/>
      <c r="E7" s="143" t="s">
        <v>3</v>
      </c>
      <c r="F7" s="143"/>
      <c r="G7" s="143"/>
    </row>
    <row r="8" spans="1:7" ht="30.75" customHeight="1">
      <c r="A8" s="141"/>
      <c r="B8" s="52" t="s">
        <v>81</v>
      </c>
      <c r="C8" s="52" t="s">
        <v>82</v>
      </c>
      <c r="D8" s="52" t="s">
        <v>83</v>
      </c>
      <c r="E8" s="52" t="s">
        <v>81</v>
      </c>
      <c r="F8" s="52" t="s">
        <v>82</v>
      </c>
      <c r="G8" s="52" t="s">
        <v>83</v>
      </c>
    </row>
    <row r="9" spans="1:7" s="9" customFormat="1" ht="12">
      <c r="A9" s="51" t="s">
        <v>4</v>
      </c>
      <c r="B9" s="52">
        <v>1</v>
      </c>
      <c r="C9" s="52">
        <v>2</v>
      </c>
      <c r="D9" s="52">
        <v>3</v>
      </c>
      <c r="E9" s="52">
        <v>1</v>
      </c>
      <c r="F9" s="52">
        <v>2</v>
      </c>
      <c r="G9" s="52">
        <v>3</v>
      </c>
    </row>
    <row r="10" spans="1:7" ht="12">
      <c r="A10" s="53" t="s">
        <v>161</v>
      </c>
      <c r="B10" s="54"/>
      <c r="C10" s="54"/>
      <c r="D10" s="55"/>
      <c r="E10" s="54"/>
      <c r="F10" s="54"/>
      <c r="G10" s="55"/>
    </row>
    <row r="11" spans="1:7" ht="12">
      <c r="A11" s="56" t="s">
        <v>181</v>
      </c>
      <c r="B11" s="54">
        <v>6137.02</v>
      </c>
      <c r="C11" s="54">
        <f>588707+497.83</f>
        <v>589204.83</v>
      </c>
      <c r="D11" s="55">
        <f>+B11-C11</f>
        <v>-583067.8099999999</v>
      </c>
      <c r="E11" s="54">
        <f>2400984.74+16880</f>
        <v>2417864.74</v>
      </c>
      <c r="F11" s="54">
        <f>7969034.56+18555.5+2212125.97</f>
        <v>10199716.03</v>
      </c>
      <c r="G11" s="55">
        <f>+E11-F11</f>
        <v>-7781851.289999999</v>
      </c>
    </row>
    <row r="12" spans="1:7" ht="12">
      <c r="A12" s="56" t="s">
        <v>162</v>
      </c>
      <c r="B12" s="54"/>
      <c r="C12" s="54"/>
      <c r="D12" s="55">
        <f aca="true" t="shared" si="0" ref="D12:D33">+B12-C12</f>
        <v>0</v>
      </c>
      <c r="E12" s="54"/>
      <c r="F12" s="54"/>
      <c r="G12" s="55">
        <f aca="true" t="shared" si="1" ref="G12:G33">+E12-F12</f>
        <v>0</v>
      </c>
    </row>
    <row r="13" spans="1:7" ht="12">
      <c r="A13" s="56" t="s">
        <v>93</v>
      </c>
      <c r="B13" s="28"/>
      <c r="C13" s="28"/>
      <c r="D13" s="55">
        <f t="shared" si="0"/>
        <v>0</v>
      </c>
      <c r="E13" s="28"/>
      <c r="F13" s="28"/>
      <c r="G13" s="55">
        <f t="shared" si="1"/>
        <v>0</v>
      </c>
    </row>
    <row r="14" spans="1:7" ht="12">
      <c r="A14" s="10" t="s">
        <v>122</v>
      </c>
      <c r="B14" s="28"/>
      <c r="C14" s="28"/>
      <c r="D14" s="55">
        <f t="shared" si="0"/>
        <v>0</v>
      </c>
      <c r="E14" s="28"/>
      <c r="F14" s="28"/>
      <c r="G14" s="55">
        <f t="shared" si="1"/>
        <v>0</v>
      </c>
    </row>
    <row r="15" spans="1:7" ht="12">
      <c r="A15" s="10" t="s">
        <v>132</v>
      </c>
      <c r="B15" s="28"/>
      <c r="C15" s="28"/>
      <c r="D15" s="55">
        <f t="shared" si="0"/>
        <v>0</v>
      </c>
      <c r="E15" s="28"/>
      <c r="F15" s="28"/>
      <c r="G15" s="55">
        <f t="shared" si="1"/>
        <v>0</v>
      </c>
    </row>
    <row r="16" spans="1:7" ht="12">
      <c r="A16" s="56" t="s">
        <v>120</v>
      </c>
      <c r="B16" s="57"/>
      <c r="C16" s="54"/>
      <c r="D16" s="55">
        <f t="shared" si="0"/>
        <v>0</v>
      </c>
      <c r="E16" s="57"/>
      <c r="F16" s="54"/>
      <c r="G16" s="55">
        <f t="shared" si="1"/>
        <v>0</v>
      </c>
    </row>
    <row r="17" spans="1:7" ht="12">
      <c r="A17" s="53" t="s">
        <v>118</v>
      </c>
      <c r="B17" s="55">
        <f aca="true" t="shared" si="2" ref="B17:G17">SUM(B11:B16)-B13</f>
        <v>6137.02</v>
      </c>
      <c r="C17" s="55">
        <f t="shared" si="2"/>
        <v>589204.83</v>
      </c>
      <c r="D17" s="55">
        <f t="shared" si="2"/>
        <v>-583067.8099999999</v>
      </c>
      <c r="E17" s="55">
        <f t="shared" si="2"/>
        <v>2417864.74</v>
      </c>
      <c r="F17" s="55">
        <f t="shared" si="2"/>
        <v>10199716.03</v>
      </c>
      <c r="G17" s="55">
        <f t="shared" si="2"/>
        <v>-7781851.289999999</v>
      </c>
    </row>
    <row r="18" spans="1:7" ht="12">
      <c r="A18" s="53" t="s">
        <v>129</v>
      </c>
      <c r="B18" s="54"/>
      <c r="C18" s="54"/>
      <c r="D18" s="55"/>
      <c r="E18" s="54"/>
      <c r="F18" s="54"/>
      <c r="G18" s="55"/>
    </row>
    <row r="19" spans="1:8" ht="12">
      <c r="A19" s="56" t="s">
        <v>84</v>
      </c>
      <c r="B19" s="54">
        <f>1067.77+456284.17+11466.07</f>
        <v>468818.01</v>
      </c>
      <c r="C19" s="54">
        <f>108019.69+638.24+1900</f>
        <v>110557.93000000001</v>
      </c>
      <c r="D19" s="55">
        <f t="shared" si="0"/>
        <v>358260.08</v>
      </c>
      <c r="E19" s="54">
        <f>43666+1721.61+6163612+9320.22+537096.82+255510.48+24575.4+25255.83+1085.49+230744.78+80319.75</f>
        <v>7372908.380000002</v>
      </c>
      <c r="F19" s="54">
        <f>158280.02+1219308.86+2328.51+88619.83+384961.24+340759.6</f>
        <v>2194258.06</v>
      </c>
      <c r="G19" s="124">
        <f t="shared" si="1"/>
        <v>5178650.320000002</v>
      </c>
      <c r="H19" s="125"/>
    </row>
    <row r="20" spans="1:8" ht="12">
      <c r="A20" s="56" t="s">
        <v>85</v>
      </c>
      <c r="B20" s="54"/>
      <c r="C20" s="54"/>
      <c r="D20" s="55">
        <f t="shared" si="0"/>
        <v>0</v>
      </c>
      <c r="E20" s="54"/>
      <c r="F20" s="54"/>
      <c r="G20" s="124">
        <f t="shared" si="1"/>
        <v>0</v>
      </c>
      <c r="H20" s="123"/>
    </row>
    <row r="21" spans="1:8" ht="12">
      <c r="A21" s="58" t="s">
        <v>91</v>
      </c>
      <c r="B21" s="54">
        <f>24.86+8.4</f>
        <v>33.26</v>
      </c>
      <c r="C21" s="54">
        <f>389.6+72.95+457.38</f>
        <v>919.9300000000001</v>
      </c>
      <c r="D21" s="55">
        <f t="shared" si="0"/>
        <v>-886.6700000000001</v>
      </c>
      <c r="E21" s="54">
        <f>187.37+126.27</f>
        <v>313.64</v>
      </c>
      <c r="F21" s="54">
        <f>3123.92+2741.53+209.37</f>
        <v>6074.820000000001</v>
      </c>
      <c r="G21" s="124">
        <f t="shared" si="1"/>
        <v>-5761.18</v>
      </c>
      <c r="H21" s="125"/>
    </row>
    <row r="22" spans="1:7" ht="12">
      <c r="A22" s="56" t="s">
        <v>89</v>
      </c>
      <c r="B22" s="54"/>
      <c r="C22" s="54"/>
      <c r="D22" s="55">
        <f t="shared" si="0"/>
        <v>0</v>
      </c>
      <c r="E22" s="54">
        <f>117305.16+658.34</f>
        <v>117963.5</v>
      </c>
      <c r="F22" s="54"/>
      <c r="G22" s="55">
        <f t="shared" si="1"/>
        <v>117963.5</v>
      </c>
    </row>
    <row r="23" spans="1:7" ht="12">
      <c r="A23" s="59" t="s">
        <v>101</v>
      </c>
      <c r="B23" s="54"/>
      <c r="C23" s="54">
        <v>23506.53</v>
      </c>
      <c r="D23" s="55">
        <f t="shared" si="0"/>
        <v>-23506.53</v>
      </c>
      <c r="E23" s="54"/>
      <c r="F23" s="54">
        <v>448597.35</v>
      </c>
      <c r="G23" s="55">
        <f t="shared" si="1"/>
        <v>-448597.35</v>
      </c>
    </row>
    <row r="24" spans="1:7" ht="12">
      <c r="A24" s="59" t="s">
        <v>102</v>
      </c>
      <c r="B24" s="54"/>
      <c r="C24" s="28">
        <v>893.37</v>
      </c>
      <c r="D24" s="55">
        <f t="shared" si="0"/>
        <v>-893.37</v>
      </c>
      <c r="E24" s="54"/>
      <c r="F24" s="28">
        <v>2888.95</v>
      </c>
      <c r="G24" s="55">
        <f t="shared" si="1"/>
        <v>-2888.95</v>
      </c>
    </row>
    <row r="25" spans="1:7" ht="12">
      <c r="A25" s="10" t="s">
        <v>163</v>
      </c>
      <c r="B25" s="54">
        <v>9.18</v>
      </c>
      <c r="C25" s="54">
        <v>76.28</v>
      </c>
      <c r="D25" s="55">
        <f t="shared" si="0"/>
        <v>-67.1</v>
      </c>
      <c r="E25" s="54">
        <f>78659.51+4220.84+2.25+0.03+1438.67</f>
        <v>84321.29999999999</v>
      </c>
      <c r="F25" s="54">
        <f>38299.06+74.29+4542.02+72.6+143.4</f>
        <v>43131.369999999995</v>
      </c>
      <c r="G25" s="55">
        <f t="shared" si="1"/>
        <v>41189.92999999999</v>
      </c>
    </row>
    <row r="26" spans="1:7" ht="12">
      <c r="A26" s="56" t="s">
        <v>90</v>
      </c>
      <c r="B26" s="54"/>
      <c r="C26" s="54">
        <f>75+8.7+186.3</f>
        <v>270</v>
      </c>
      <c r="D26" s="55">
        <f t="shared" si="0"/>
        <v>-270</v>
      </c>
      <c r="E26" s="54"/>
      <c r="F26" s="54">
        <f>145.44+22.56+2861.39-219.39</f>
        <v>2810</v>
      </c>
      <c r="G26" s="55">
        <f t="shared" si="1"/>
        <v>-2810</v>
      </c>
    </row>
    <row r="27" spans="1:7" ht="12">
      <c r="A27" s="53" t="s">
        <v>119</v>
      </c>
      <c r="B27" s="55">
        <f aca="true" t="shared" si="3" ref="B27:G27">SUM(B19:B26)</f>
        <v>468860.45</v>
      </c>
      <c r="C27" s="55">
        <f t="shared" si="3"/>
        <v>136224.04</v>
      </c>
      <c r="D27" s="55">
        <f t="shared" si="3"/>
        <v>332636.41000000003</v>
      </c>
      <c r="E27" s="55">
        <f t="shared" si="3"/>
        <v>7575506.820000001</v>
      </c>
      <c r="F27" s="55">
        <f t="shared" si="3"/>
        <v>2697760.5500000003</v>
      </c>
      <c r="G27" s="55">
        <f t="shared" si="3"/>
        <v>4877746.270000002</v>
      </c>
    </row>
    <row r="28" spans="1:7" ht="12">
      <c r="A28" s="60" t="s">
        <v>130</v>
      </c>
      <c r="B28" s="54"/>
      <c r="C28" s="54"/>
      <c r="D28" s="55"/>
      <c r="E28" s="54"/>
      <c r="F28" s="54"/>
      <c r="G28" s="55"/>
    </row>
    <row r="29" spans="1:7" ht="12">
      <c r="A29" s="56" t="s">
        <v>121</v>
      </c>
      <c r="B29" s="54"/>
      <c r="C29" s="54"/>
      <c r="D29" s="55">
        <f t="shared" si="0"/>
        <v>0</v>
      </c>
      <c r="E29" s="54"/>
      <c r="F29" s="54">
        <f>219.39+1190.61</f>
        <v>1410</v>
      </c>
      <c r="G29" s="55">
        <f t="shared" si="1"/>
        <v>-1410</v>
      </c>
    </row>
    <row r="30" spans="1:7" ht="12">
      <c r="A30" s="56" t="s">
        <v>86</v>
      </c>
      <c r="B30" s="54"/>
      <c r="C30" s="54"/>
      <c r="D30" s="55">
        <f t="shared" si="0"/>
        <v>0</v>
      </c>
      <c r="E30" s="54"/>
      <c r="F30" s="54"/>
      <c r="G30" s="55">
        <f t="shared" si="1"/>
        <v>0</v>
      </c>
    </row>
    <row r="31" spans="1:7" ht="12">
      <c r="A31" s="56" t="s">
        <v>92</v>
      </c>
      <c r="B31" s="54"/>
      <c r="C31" s="54"/>
      <c r="D31" s="55">
        <f t="shared" si="0"/>
        <v>0</v>
      </c>
      <c r="E31" s="54"/>
      <c r="F31" s="54"/>
      <c r="G31" s="55">
        <f t="shared" si="1"/>
        <v>0</v>
      </c>
    </row>
    <row r="32" spans="1:7" ht="12">
      <c r="A32" s="56" t="s">
        <v>164</v>
      </c>
      <c r="B32" s="54"/>
      <c r="C32" s="54"/>
      <c r="D32" s="55">
        <f t="shared" si="0"/>
        <v>0</v>
      </c>
      <c r="E32" s="54"/>
      <c r="F32" s="54"/>
      <c r="G32" s="55">
        <f t="shared" si="1"/>
        <v>0</v>
      </c>
    </row>
    <row r="33" spans="1:7" ht="12">
      <c r="A33" s="56" t="s">
        <v>182</v>
      </c>
      <c r="B33" s="54"/>
      <c r="C33" s="54"/>
      <c r="D33" s="55">
        <f t="shared" si="0"/>
        <v>0</v>
      </c>
      <c r="E33" s="54"/>
      <c r="F33" s="54"/>
      <c r="G33" s="55">
        <f t="shared" si="1"/>
        <v>0</v>
      </c>
    </row>
    <row r="34" spans="1:7" ht="24">
      <c r="A34" s="53" t="s">
        <v>177</v>
      </c>
      <c r="B34" s="55">
        <f aca="true" t="shared" si="4" ref="B34:G34">SUM(B29:B33)</f>
        <v>0</v>
      </c>
      <c r="C34" s="55">
        <f t="shared" si="4"/>
        <v>0</v>
      </c>
      <c r="D34" s="55">
        <f t="shared" si="4"/>
        <v>0</v>
      </c>
      <c r="E34" s="55">
        <f t="shared" si="4"/>
        <v>0</v>
      </c>
      <c r="F34" s="55">
        <f t="shared" si="4"/>
        <v>1410</v>
      </c>
      <c r="G34" s="55">
        <f t="shared" si="4"/>
        <v>-1410</v>
      </c>
    </row>
    <row r="35" spans="1:7" ht="24">
      <c r="A35" s="53" t="s">
        <v>87</v>
      </c>
      <c r="B35" s="55">
        <f aca="true" t="shared" si="5" ref="B35:G35">+B17+B27+B34</f>
        <v>474997.47000000003</v>
      </c>
      <c r="C35" s="55">
        <f t="shared" si="5"/>
        <v>725428.87</v>
      </c>
      <c r="D35" s="55">
        <f t="shared" si="5"/>
        <v>-250431.3999999999</v>
      </c>
      <c r="E35" s="55">
        <f t="shared" si="5"/>
        <v>9993371.560000002</v>
      </c>
      <c r="F35" s="55">
        <f t="shared" si="5"/>
        <v>12898886.58</v>
      </c>
      <c r="G35" s="55">
        <f t="shared" si="5"/>
        <v>-2905515.0199999968</v>
      </c>
    </row>
    <row r="36" spans="1:7" ht="12">
      <c r="A36" s="53" t="s">
        <v>88</v>
      </c>
      <c r="B36" s="55"/>
      <c r="C36" s="55"/>
      <c r="D36" s="55">
        <f>+G37</f>
        <v>719470.0800000033</v>
      </c>
      <c r="E36" s="55"/>
      <c r="F36" s="55"/>
      <c r="G36" s="55">
        <v>3624985.1</v>
      </c>
    </row>
    <row r="37" spans="1:7" ht="12">
      <c r="A37" s="60" t="s">
        <v>96</v>
      </c>
      <c r="B37" s="55"/>
      <c r="C37" s="55"/>
      <c r="D37" s="55">
        <f>SUM(D35:D36)</f>
        <v>469038.6800000034</v>
      </c>
      <c r="E37" s="55"/>
      <c r="F37" s="55"/>
      <c r="G37" s="55">
        <f>SUM(G35:G36)</f>
        <v>719470.0800000033</v>
      </c>
    </row>
    <row r="38" spans="1:7" ht="12">
      <c r="A38" s="56" t="s">
        <v>97</v>
      </c>
      <c r="B38" s="54"/>
      <c r="C38" s="54"/>
      <c r="D38" s="107">
        <f>32624.27+11820.62</f>
        <v>44444.89</v>
      </c>
      <c r="E38" s="54"/>
      <c r="F38" s="54"/>
      <c r="G38" s="107">
        <f>63252.83+801.16</f>
        <v>64053.990000000005</v>
      </c>
    </row>
    <row r="39" spans="2:8" ht="12">
      <c r="B39" s="61"/>
      <c r="C39" s="61"/>
      <c r="D39" s="61"/>
      <c r="E39" s="61"/>
      <c r="F39" s="61"/>
      <c r="G39" s="61"/>
      <c r="H39" s="2"/>
    </row>
    <row r="40" spans="1:8" ht="12" customHeight="1">
      <c r="A40" s="5" t="s">
        <v>188</v>
      </c>
      <c r="B40" s="127" t="s">
        <v>95</v>
      </c>
      <c r="C40" s="127"/>
      <c r="D40" s="46"/>
      <c r="E40" s="127" t="s">
        <v>95</v>
      </c>
      <c r="F40" s="127"/>
      <c r="G40" s="46"/>
      <c r="H40" s="2"/>
    </row>
    <row r="41" spans="2:8" ht="15" customHeight="1">
      <c r="B41" s="130" t="s">
        <v>176</v>
      </c>
      <c r="C41" s="130"/>
      <c r="D41" s="61"/>
      <c r="E41" s="139" t="s">
        <v>175</v>
      </c>
      <c r="F41" s="139"/>
      <c r="G41" s="61"/>
      <c r="H41" s="2"/>
    </row>
    <row r="42" spans="2:8" ht="12">
      <c r="B42" s="61"/>
      <c r="C42" s="61"/>
      <c r="D42" s="61"/>
      <c r="E42" s="61"/>
      <c r="F42" s="61"/>
      <c r="G42" s="61"/>
      <c r="H42" s="2"/>
    </row>
    <row r="43" spans="2:8" ht="12">
      <c r="B43" s="61"/>
      <c r="C43" s="61"/>
      <c r="D43" s="61"/>
      <c r="E43" s="61"/>
      <c r="F43" s="61"/>
      <c r="G43" s="61"/>
      <c r="H43" s="2"/>
    </row>
    <row r="44" spans="2:8" ht="12">
      <c r="B44" s="61"/>
      <c r="C44" s="61"/>
      <c r="D44" s="61"/>
      <c r="E44" s="61"/>
      <c r="F44" s="61"/>
      <c r="G44" s="61"/>
      <c r="H44" s="2"/>
    </row>
    <row r="45" spans="2:8" ht="12">
      <c r="B45" s="61"/>
      <c r="C45" s="61"/>
      <c r="D45" s="61"/>
      <c r="E45" s="61"/>
      <c r="F45" s="61"/>
      <c r="G45" s="61"/>
      <c r="H45" s="2"/>
    </row>
    <row r="46" spans="2:8" ht="12">
      <c r="B46" s="29"/>
      <c r="C46" s="29"/>
      <c r="D46" s="29"/>
      <c r="E46" s="29"/>
      <c r="F46" s="29"/>
      <c r="G46" s="29"/>
      <c r="H46" s="2"/>
    </row>
    <row r="47" spans="2:7" ht="12">
      <c r="B47" s="46"/>
      <c r="C47" s="46"/>
      <c r="D47" s="46"/>
      <c r="E47" s="46"/>
      <c r="F47" s="46"/>
      <c r="G47" s="46"/>
    </row>
    <row r="48" spans="2:7" ht="12">
      <c r="B48" s="46"/>
      <c r="C48" s="46"/>
      <c r="D48" s="46"/>
      <c r="E48" s="46"/>
      <c r="F48" s="46"/>
      <c r="G48" s="46"/>
    </row>
  </sheetData>
  <sheetProtection password="CC60" sheet="1" objects="1" scenarios="1"/>
  <mergeCells count="9">
    <mergeCell ref="E41:F41"/>
    <mergeCell ref="B41:C41"/>
    <mergeCell ref="A7:A8"/>
    <mergeCell ref="A2:F2"/>
    <mergeCell ref="B40:C40"/>
    <mergeCell ref="E40:F40"/>
    <mergeCell ref="B7:D7"/>
    <mergeCell ref="E7:G7"/>
    <mergeCell ref="D4:F4"/>
  </mergeCells>
  <printOptions horizontalCentered="1"/>
  <pageMargins left="0" right="0" top="0.3937007874015748" bottom="0.31496062992125984" header="0.1968503937007874" footer="0.03937007874015748"/>
  <pageSetup fitToHeight="1" fitToWidth="1" horizontalDpi="300" verticalDpi="300" orientation="portrait" paperSize="9" scale="8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9">
      <selection activeCell="K31" sqref="K31"/>
    </sheetView>
  </sheetViews>
  <sheetFormatPr defaultColWidth="9.140625" defaultRowHeight="12.75"/>
  <cols>
    <col min="1" max="1" width="25.421875" style="62" customWidth="1"/>
    <col min="2" max="2" width="10.28125" style="72" customWidth="1"/>
    <col min="3" max="3" width="10.7109375" style="72" customWidth="1"/>
    <col min="4" max="4" width="10.140625" style="72" customWidth="1"/>
    <col min="5" max="5" width="12.140625" style="72" customWidth="1"/>
    <col min="6" max="6" width="9.8515625" style="72" customWidth="1"/>
    <col min="7" max="7" width="13.421875" style="72" customWidth="1"/>
    <col min="8" max="8" width="12.00390625" style="72" customWidth="1"/>
    <col min="9" max="16384" width="9.140625" style="3" customWidth="1"/>
  </cols>
  <sheetData>
    <row r="1" spans="6:8" ht="12">
      <c r="F1" s="84"/>
      <c r="G1" s="84" t="s">
        <v>165</v>
      </c>
      <c r="H1" s="84"/>
    </row>
    <row r="3" spans="1:8" ht="19.5" customHeight="1">
      <c r="A3" s="145" t="s">
        <v>54</v>
      </c>
      <c r="B3" s="145"/>
      <c r="C3" s="145"/>
      <c r="D3" s="145"/>
      <c r="E3" s="145"/>
      <c r="F3" s="145"/>
      <c r="G3" s="145"/>
      <c r="H3" s="145"/>
    </row>
    <row r="4" spans="1:8" ht="12">
      <c r="A4" s="6"/>
      <c r="B4" s="85"/>
      <c r="C4" s="85"/>
      <c r="D4" s="85"/>
      <c r="E4" s="85"/>
      <c r="F4" s="85"/>
      <c r="G4" s="85"/>
      <c r="H4" s="86"/>
    </row>
    <row r="5" spans="1:8" ht="14.25" customHeight="1">
      <c r="A5" s="156" t="str">
        <f>'справка № 1-КИС-БАЛАНС'!A3:C3</f>
        <v>Наименование на КИС:ТИ БИ АЙ ДИНАМИК</v>
      </c>
      <c r="B5" s="156"/>
      <c r="C5" s="156"/>
      <c r="D5" s="87"/>
      <c r="E5" s="87"/>
      <c r="F5" s="133" t="s">
        <v>183</v>
      </c>
      <c r="G5" s="133"/>
      <c r="H5" s="133"/>
    </row>
    <row r="6" spans="1:8" ht="12">
      <c r="A6" s="156" t="str">
        <f>'справка № 1-КИС-БАЛАНС'!A4</f>
        <v>Отчетен период 31.03.2009</v>
      </c>
      <c r="B6" s="156"/>
      <c r="C6" s="87"/>
      <c r="D6" s="87"/>
      <c r="E6" s="88"/>
      <c r="F6" s="88"/>
      <c r="G6" s="88"/>
      <c r="H6" s="89"/>
    </row>
    <row r="7" spans="1:8" ht="12">
      <c r="A7" s="7"/>
      <c r="B7" s="87"/>
      <c r="C7" s="87"/>
      <c r="D7" s="87"/>
      <c r="E7" s="88"/>
      <c r="F7" s="88"/>
      <c r="G7" s="88"/>
      <c r="H7" s="89"/>
    </row>
    <row r="8" spans="1:8" ht="12">
      <c r="A8" s="8"/>
      <c r="B8" s="90"/>
      <c r="C8" s="90"/>
      <c r="D8" s="90"/>
      <c r="E8" s="91"/>
      <c r="F8" s="91"/>
      <c r="G8" s="91"/>
      <c r="H8" s="92" t="s">
        <v>55</v>
      </c>
    </row>
    <row r="9" spans="1:8" ht="32.25" customHeight="1">
      <c r="A9" s="157" t="s">
        <v>56</v>
      </c>
      <c r="B9" s="148" t="s">
        <v>60</v>
      </c>
      <c r="C9" s="146" t="s">
        <v>57</v>
      </c>
      <c r="D9" s="155"/>
      <c r="E9" s="155"/>
      <c r="F9" s="146" t="s">
        <v>58</v>
      </c>
      <c r="G9" s="147"/>
      <c r="H9" s="148" t="s">
        <v>59</v>
      </c>
    </row>
    <row r="10" spans="1:8" ht="12.75" customHeight="1">
      <c r="A10" s="158"/>
      <c r="B10" s="153"/>
      <c r="C10" s="151" t="s">
        <v>61</v>
      </c>
      <c r="D10" s="148" t="s">
        <v>62</v>
      </c>
      <c r="E10" s="148" t="s">
        <v>123</v>
      </c>
      <c r="F10" s="148" t="s">
        <v>63</v>
      </c>
      <c r="G10" s="148" t="s">
        <v>64</v>
      </c>
      <c r="H10" s="149"/>
    </row>
    <row r="11" spans="1:8" ht="60" customHeight="1">
      <c r="A11" s="159"/>
      <c r="B11" s="154"/>
      <c r="C11" s="152"/>
      <c r="D11" s="154"/>
      <c r="E11" s="150"/>
      <c r="F11" s="150"/>
      <c r="G11" s="150"/>
      <c r="H11" s="150"/>
    </row>
    <row r="12" spans="1:8" s="24" customFormat="1" ht="12">
      <c r="A12" s="63" t="s">
        <v>4</v>
      </c>
      <c r="B12" s="83">
        <v>1</v>
      </c>
      <c r="C12" s="83">
        <v>2</v>
      </c>
      <c r="D12" s="83">
        <v>3</v>
      </c>
      <c r="E12" s="83">
        <v>4</v>
      </c>
      <c r="F12" s="83">
        <v>5</v>
      </c>
      <c r="G12" s="83">
        <v>6</v>
      </c>
      <c r="H12" s="83">
        <v>7</v>
      </c>
    </row>
    <row r="13" spans="1:8" s="24" customFormat="1" ht="24">
      <c r="A13" s="64" t="s">
        <v>103</v>
      </c>
      <c r="B13" s="97">
        <v>10795023.89</v>
      </c>
      <c r="C13" s="97">
        <v>3352196.82</v>
      </c>
      <c r="D13" s="97"/>
      <c r="E13" s="97"/>
      <c r="F13" s="97">
        <v>9232478</v>
      </c>
      <c r="G13" s="97"/>
      <c r="H13" s="97">
        <v>23379698.71</v>
      </c>
    </row>
    <row r="14" spans="1:8" s="24" customFormat="1" ht="24">
      <c r="A14" s="64" t="s">
        <v>104</v>
      </c>
      <c r="B14" s="97">
        <v>10795023.89</v>
      </c>
      <c r="C14" s="97">
        <v>3352196.82</v>
      </c>
      <c r="D14" s="97"/>
      <c r="E14" s="97"/>
      <c r="F14" s="97">
        <v>9232478</v>
      </c>
      <c r="G14" s="97"/>
      <c r="H14" s="97">
        <v>23379698.71</v>
      </c>
    </row>
    <row r="15" spans="1:8" s="24" customFormat="1" ht="24">
      <c r="A15" s="64" t="s">
        <v>65</v>
      </c>
      <c r="B15" s="97">
        <v>4698522.16</v>
      </c>
      <c r="C15" s="97">
        <v>1551396.9</v>
      </c>
      <c r="D15" s="97">
        <v>0</v>
      </c>
      <c r="E15" s="97">
        <v>0</v>
      </c>
      <c r="F15" s="97"/>
      <c r="G15" s="97">
        <v>2311353</v>
      </c>
      <c r="H15" s="97">
        <v>3938566.06</v>
      </c>
    </row>
    <row r="16" spans="1:8" s="24" customFormat="1" ht="24">
      <c r="A16" s="64" t="s">
        <v>66</v>
      </c>
      <c r="B16" s="98">
        <f aca="true" t="shared" si="0" ref="B16:G16">SUM(B17:B18)</f>
        <v>0</v>
      </c>
      <c r="C16" s="98">
        <f t="shared" si="0"/>
        <v>0</v>
      </c>
      <c r="D16" s="98">
        <f t="shared" si="0"/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7">
        <f>+H17+H18</f>
        <v>0</v>
      </c>
    </row>
    <row r="17" spans="1:8" ht="24">
      <c r="A17" s="65" t="s">
        <v>67</v>
      </c>
      <c r="B17" s="99"/>
      <c r="C17" s="99"/>
      <c r="D17" s="99"/>
      <c r="E17" s="99"/>
      <c r="F17" s="99"/>
      <c r="G17" s="99"/>
      <c r="H17" s="97">
        <f>SUM(B17:F17)-G17</f>
        <v>0</v>
      </c>
    </row>
    <row r="18" spans="1:8" ht="12">
      <c r="A18" s="65" t="s">
        <v>68</v>
      </c>
      <c r="B18" s="100"/>
      <c r="C18" s="100"/>
      <c r="D18" s="100"/>
      <c r="E18" s="100"/>
      <c r="F18" s="100"/>
      <c r="G18" s="100"/>
      <c r="H18" s="97">
        <f>SUM(B18:F18)-G18</f>
        <v>0</v>
      </c>
    </row>
    <row r="19" spans="1:8" ht="24">
      <c r="A19" s="64" t="s">
        <v>69</v>
      </c>
      <c r="B19" s="100"/>
      <c r="C19" s="100"/>
      <c r="D19" s="100"/>
      <c r="E19" s="100"/>
      <c r="F19" s="100"/>
      <c r="G19" s="100"/>
      <c r="H19" s="97">
        <f>SUM(B19:F19)-G19</f>
        <v>0</v>
      </c>
    </row>
    <row r="20" spans="1:8" ht="34.5" customHeight="1">
      <c r="A20" s="64" t="s">
        <v>166</v>
      </c>
      <c r="B20" s="98">
        <f aca="true" t="shared" si="1" ref="B20:H20">+B21-B22</f>
        <v>-873320.12</v>
      </c>
      <c r="C20" s="98">
        <f>C21-C22</f>
        <v>284248.17</v>
      </c>
      <c r="D20" s="98">
        <f t="shared" si="1"/>
        <v>0</v>
      </c>
      <c r="E20" s="98">
        <f t="shared" si="1"/>
        <v>0</v>
      </c>
      <c r="F20" s="98">
        <f t="shared" si="1"/>
        <v>0</v>
      </c>
      <c r="G20" s="98">
        <f t="shared" si="1"/>
        <v>0</v>
      </c>
      <c r="H20" s="97">
        <f t="shared" si="1"/>
        <v>-589071.9500000001</v>
      </c>
    </row>
    <row r="21" spans="1:8" ht="12">
      <c r="A21" s="65" t="s">
        <v>124</v>
      </c>
      <c r="B21" s="99">
        <v>8298.86</v>
      </c>
      <c r="C21" s="99">
        <v>-1742</v>
      </c>
      <c r="D21" s="99"/>
      <c r="E21" s="99"/>
      <c r="F21" s="99"/>
      <c r="G21" s="99"/>
      <c r="H21" s="97">
        <f aca="true" t="shared" si="2" ref="H21:H36">SUM(B21:F21)-G21</f>
        <v>6556.860000000001</v>
      </c>
    </row>
    <row r="22" spans="1:8" ht="12">
      <c r="A22" s="65" t="s">
        <v>125</v>
      </c>
      <c r="B22" s="99">
        <v>881618.98</v>
      </c>
      <c r="C22" s="99">
        <f>-193551.43-92438.74</f>
        <v>-285990.17</v>
      </c>
      <c r="D22" s="99"/>
      <c r="E22" s="99"/>
      <c r="F22" s="99"/>
      <c r="G22" s="99"/>
      <c r="H22" s="97">
        <f t="shared" si="2"/>
        <v>595628.81</v>
      </c>
    </row>
    <row r="23" spans="1:8" ht="24">
      <c r="A23" s="64" t="s">
        <v>70</v>
      </c>
      <c r="B23" s="99"/>
      <c r="C23" s="99"/>
      <c r="D23" s="99"/>
      <c r="E23" s="99"/>
      <c r="F23" s="99"/>
      <c r="G23" s="99">
        <v>828022.41</v>
      </c>
      <c r="H23" s="97">
        <f t="shared" si="2"/>
        <v>-828022.41</v>
      </c>
    </row>
    <row r="24" spans="1:8" ht="12">
      <c r="A24" s="65" t="s">
        <v>71</v>
      </c>
      <c r="B24" s="101">
        <f aca="true" t="shared" si="3" ref="B24:G24">SUM(B25:B26)</f>
        <v>0</v>
      </c>
      <c r="C24" s="101">
        <f t="shared" si="3"/>
        <v>0</v>
      </c>
      <c r="D24" s="101">
        <f t="shared" si="3"/>
        <v>0</v>
      </c>
      <c r="E24" s="101">
        <f t="shared" si="3"/>
        <v>0</v>
      </c>
      <c r="F24" s="101">
        <f t="shared" si="3"/>
        <v>0</v>
      </c>
      <c r="G24" s="101">
        <f t="shared" si="3"/>
        <v>0</v>
      </c>
      <c r="H24" s="97">
        <f t="shared" si="2"/>
        <v>0</v>
      </c>
    </row>
    <row r="25" spans="1:8" ht="12">
      <c r="A25" s="65" t="s">
        <v>72</v>
      </c>
      <c r="B25" s="99"/>
      <c r="C25" s="99"/>
      <c r="D25" s="99"/>
      <c r="E25" s="99"/>
      <c r="F25" s="99"/>
      <c r="G25" s="99"/>
      <c r="H25" s="97">
        <f t="shared" si="2"/>
        <v>0</v>
      </c>
    </row>
    <row r="26" spans="1:8" ht="12">
      <c r="A26" s="65" t="s">
        <v>73</v>
      </c>
      <c r="B26" s="100"/>
      <c r="C26" s="100"/>
      <c r="D26" s="100"/>
      <c r="E26" s="100"/>
      <c r="F26" s="100"/>
      <c r="G26" s="100"/>
      <c r="H26" s="97">
        <f t="shared" si="2"/>
        <v>0</v>
      </c>
    </row>
    <row r="27" spans="1:8" ht="12">
      <c r="A27" s="65" t="s">
        <v>74</v>
      </c>
      <c r="B27" s="100"/>
      <c r="C27" s="100"/>
      <c r="D27" s="100"/>
      <c r="E27" s="100"/>
      <c r="F27" s="100"/>
      <c r="G27" s="100"/>
      <c r="H27" s="97">
        <f t="shared" si="2"/>
        <v>0</v>
      </c>
    </row>
    <row r="28" spans="1:8" ht="36">
      <c r="A28" s="65" t="s">
        <v>167</v>
      </c>
      <c r="B28" s="101">
        <f aca="true" t="shared" si="4" ref="B28:G28">SUM(B29:B30)</f>
        <v>0</v>
      </c>
      <c r="C28" s="101">
        <f t="shared" si="4"/>
        <v>0</v>
      </c>
      <c r="D28" s="101">
        <f t="shared" si="4"/>
        <v>0</v>
      </c>
      <c r="E28" s="101">
        <f t="shared" si="4"/>
        <v>0</v>
      </c>
      <c r="F28" s="101">
        <f t="shared" si="4"/>
        <v>0</v>
      </c>
      <c r="G28" s="101">
        <f t="shared" si="4"/>
        <v>0</v>
      </c>
      <c r="H28" s="97">
        <f t="shared" si="2"/>
        <v>0</v>
      </c>
    </row>
    <row r="29" spans="1:8" ht="12">
      <c r="A29" s="65" t="s">
        <v>75</v>
      </c>
      <c r="B29" s="99"/>
      <c r="C29" s="99"/>
      <c r="D29" s="99"/>
      <c r="E29" s="99"/>
      <c r="F29" s="99"/>
      <c r="G29" s="99"/>
      <c r="H29" s="97">
        <f t="shared" si="2"/>
        <v>0</v>
      </c>
    </row>
    <row r="30" spans="1:8" ht="12">
      <c r="A30" s="65" t="s">
        <v>76</v>
      </c>
      <c r="B30" s="100"/>
      <c r="C30" s="100"/>
      <c r="D30" s="100"/>
      <c r="E30" s="100"/>
      <c r="F30" s="100"/>
      <c r="G30" s="100"/>
      <c r="H30" s="97">
        <f t="shared" si="2"/>
        <v>0</v>
      </c>
    </row>
    <row r="31" spans="1:8" ht="36">
      <c r="A31" s="65" t="s">
        <v>168</v>
      </c>
      <c r="B31" s="101">
        <f aca="true" t="shared" si="5" ref="B31:G31">SUM(B32:B33)</f>
        <v>0</v>
      </c>
      <c r="C31" s="101">
        <f t="shared" si="5"/>
        <v>0</v>
      </c>
      <c r="D31" s="101">
        <f t="shared" si="5"/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97">
        <f t="shared" si="2"/>
        <v>0</v>
      </c>
    </row>
    <row r="32" spans="1:8" ht="12">
      <c r="A32" s="65" t="s">
        <v>75</v>
      </c>
      <c r="B32" s="99"/>
      <c r="C32" s="99"/>
      <c r="D32" s="99"/>
      <c r="E32" s="99"/>
      <c r="F32" s="99"/>
      <c r="G32" s="99"/>
      <c r="H32" s="97">
        <f t="shared" si="2"/>
        <v>0</v>
      </c>
    </row>
    <row r="33" spans="1:8" ht="12">
      <c r="A33" s="65" t="s">
        <v>76</v>
      </c>
      <c r="B33" s="100"/>
      <c r="C33" s="100"/>
      <c r="D33" s="100"/>
      <c r="E33" s="100"/>
      <c r="F33" s="100"/>
      <c r="G33" s="100"/>
      <c r="H33" s="97">
        <f t="shared" si="2"/>
        <v>0</v>
      </c>
    </row>
    <row r="34" spans="1:8" ht="12">
      <c r="A34" s="65" t="s">
        <v>126</v>
      </c>
      <c r="B34" s="100"/>
      <c r="C34" s="100"/>
      <c r="D34" s="100"/>
      <c r="E34" s="100"/>
      <c r="F34" s="100"/>
      <c r="G34" s="100"/>
      <c r="H34" s="97">
        <f t="shared" si="2"/>
        <v>0</v>
      </c>
    </row>
    <row r="35" spans="1:8" ht="24">
      <c r="A35" s="64" t="s">
        <v>77</v>
      </c>
      <c r="B35" s="101">
        <f aca="true" t="shared" si="6" ref="B35:G35">+B15+B16+B19+B20+B23+B24+B27+B28+B31+B34</f>
        <v>3825202.04</v>
      </c>
      <c r="C35" s="101">
        <f t="shared" si="6"/>
        <v>1835645.0699999998</v>
      </c>
      <c r="D35" s="101">
        <f t="shared" si="6"/>
        <v>0</v>
      </c>
      <c r="E35" s="101">
        <f t="shared" si="6"/>
        <v>0</v>
      </c>
      <c r="F35" s="101">
        <f t="shared" si="6"/>
        <v>0</v>
      </c>
      <c r="G35" s="101">
        <f t="shared" si="6"/>
        <v>3139375.41</v>
      </c>
      <c r="H35" s="97">
        <f t="shared" si="2"/>
        <v>2521471.6999999993</v>
      </c>
    </row>
    <row r="36" spans="1:8" ht="14.25" customHeight="1">
      <c r="A36" s="65" t="s">
        <v>133</v>
      </c>
      <c r="B36" s="99"/>
      <c r="C36" s="99"/>
      <c r="D36" s="99"/>
      <c r="E36" s="99"/>
      <c r="F36" s="99"/>
      <c r="G36" s="99"/>
      <c r="H36" s="97">
        <f t="shared" si="2"/>
        <v>0</v>
      </c>
    </row>
    <row r="37" spans="1:8" ht="24">
      <c r="A37" s="66" t="s">
        <v>78</v>
      </c>
      <c r="B37" s="101">
        <f>+B35</f>
        <v>3825202.04</v>
      </c>
      <c r="C37" s="101">
        <f aca="true" t="shared" si="7" ref="C37:H37">+C35</f>
        <v>1835645.0699999998</v>
      </c>
      <c r="D37" s="101">
        <f t="shared" si="7"/>
        <v>0</v>
      </c>
      <c r="E37" s="101">
        <f t="shared" si="7"/>
        <v>0</v>
      </c>
      <c r="F37" s="101">
        <f t="shared" si="7"/>
        <v>0</v>
      </c>
      <c r="G37" s="101">
        <f t="shared" si="7"/>
        <v>3139375.41</v>
      </c>
      <c r="H37" s="101">
        <f t="shared" si="7"/>
        <v>2521471.6999999993</v>
      </c>
    </row>
    <row r="39" spans="1:8" ht="21" customHeight="1">
      <c r="A39" s="5" t="s">
        <v>188</v>
      </c>
      <c r="B39" s="93"/>
      <c r="C39" s="93"/>
      <c r="D39" s="94" t="s">
        <v>79</v>
      </c>
      <c r="E39" s="95"/>
      <c r="F39" s="95"/>
      <c r="G39" s="94" t="s">
        <v>169</v>
      </c>
      <c r="H39" s="96"/>
    </row>
    <row r="40" spans="5:9" ht="21" customHeight="1">
      <c r="E40" s="130" t="s">
        <v>176</v>
      </c>
      <c r="F40" s="130"/>
      <c r="H40" s="144" t="s">
        <v>175</v>
      </c>
      <c r="I40" s="144"/>
    </row>
    <row r="41" spans="2:9" ht="12">
      <c r="B41" s="67"/>
      <c r="C41" s="67"/>
      <c r="D41" s="67"/>
      <c r="E41" s="67"/>
      <c r="F41" s="67"/>
      <c r="G41" s="67"/>
      <c r="H41" s="67"/>
      <c r="I41" s="2"/>
    </row>
    <row r="42" spans="1:8" ht="12">
      <c r="A42" s="68"/>
      <c r="B42" s="69"/>
      <c r="C42" s="69"/>
      <c r="D42" s="69"/>
      <c r="E42" s="69"/>
      <c r="F42" s="69"/>
      <c r="G42" s="69"/>
      <c r="H42" s="69"/>
    </row>
    <row r="43" spans="1:8" ht="12">
      <c r="A43" s="68"/>
      <c r="B43" s="69"/>
      <c r="C43" s="69"/>
      <c r="D43" s="69"/>
      <c r="E43" s="69"/>
      <c r="F43" s="69"/>
      <c r="G43" s="69"/>
      <c r="H43" s="69"/>
    </row>
    <row r="44" ht="15" customHeight="1"/>
  </sheetData>
  <sheetProtection password="CC60" sheet="1" objects="1" scenarios="1"/>
  <mergeCells count="16">
    <mergeCell ref="D10:D11"/>
    <mergeCell ref="F5:H5"/>
    <mergeCell ref="E10:E11"/>
    <mergeCell ref="A6:B6"/>
    <mergeCell ref="A5:C5"/>
    <mergeCell ref="A9:A11"/>
    <mergeCell ref="E40:F40"/>
    <mergeCell ref="H40:I40"/>
    <mergeCell ref="A3:H3"/>
    <mergeCell ref="F9:G9"/>
    <mergeCell ref="H9:H11"/>
    <mergeCell ref="F10:F11"/>
    <mergeCell ref="C10:C11"/>
    <mergeCell ref="G10:G11"/>
    <mergeCell ref="B9:B11"/>
    <mergeCell ref="C9:E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8:G19 B26:G28 B35:G35 B37:H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G34 B30:G31">
      <formula1>0</formula1>
      <formula2>9999999999999990</formula2>
    </dataValidation>
  </dataValidations>
  <printOptions horizontalCentered="1"/>
  <pageMargins left="0" right="0" top="0.7480314960629921" bottom="0.3937007874015748" header="0.5118110236220472" footer="0.31496062992125984"/>
  <pageSetup fitToHeight="1" fitToWidth="1" horizontalDpi="300" verticalDpi="300" orientation="portrait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i_sirashka</cp:lastModifiedBy>
  <cp:lastPrinted>2009-04-28T07:34:51Z</cp:lastPrinted>
  <dcterms:created xsi:type="dcterms:W3CDTF">2004-03-04T10:58:58Z</dcterms:created>
  <dcterms:modified xsi:type="dcterms:W3CDTF">2009-06-16T13:18:54Z</dcterms:modified>
  <cp:category/>
  <cp:version/>
  <cp:contentType/>
  <cp:contentStatus/>
</cp:coreProperties>
</file>