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<sst xmlns="http://schemas.openxmlformats.org/spreadsheetml/2006/main" count="1075" uniqueCount="894">
  <si>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</si>
  <si>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</si>
  <si>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</si>
  <si>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</si>
  <si>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</si>
  <si>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</si>
  <si>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</si>
  <si>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</si>
  <si>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</si>
  <si>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</si>
  <si>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</si>
  <si>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</si>
  <si>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</si>
  <si>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</si>
  <si>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</si>
  <si>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</si>
  <si>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</si>
  <si>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</si>
  <si>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</si>
  <si>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</si>
  <si>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</si>
  <si>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</si>
  <si>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</si>
  <si>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</si>
  <si>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</si>
  <si>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</si>
  <si>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</si>
  <si>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</si>
  <si>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</si>
  <si>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</si>
  <si>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</si>
  <si>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</si>
  <si>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</si>
  <si>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</si>
  <si>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</si>
  <si>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</si>
  <si>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</si>
  <si>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</si>
  <si>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</si>
  <si>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</si>
  <si>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</si>
  <si>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</si>
  <si>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</si>
  <si>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</si>
  <si>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</si>
  <si>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</si>
  <si>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</si>
  <si>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</si>
  <si>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</si>
  <si>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</si>
  <si>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</si>
  <si>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</si>
  <si>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</si>
  <si>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</si>
  <si>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</si>
  <si>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</si>
  <si>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</si>
  <si>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</si>
  <si>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</si>
  <si>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</si>
  <si>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</si>
  <si>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</si>
  <si>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</si>
  <si>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</si>
  <si>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</si>
  <si>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</si>
  <si>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</si>
  <si>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</si>
  <si>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</si>
  <si>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</si>
  <si>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</si>
  <si>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</si>
  <si>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</si>
  <si>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</si>
  <si>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</si>
  <si>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</si>
  <si>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</si>
  <si>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</si>
  <si>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</si>
  <si>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</si>
  <si>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</si>
  <si>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</si>
  <si>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</si>
  <si>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</si>
  <si>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</si>
  <si>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</si>
  <si>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</si>
  <si>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</si>
  <si>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</si>
  <si>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</si>
  <si>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</si>
  <si>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</si>
  <si>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</si>
  <si>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</si>
  <si>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</si>
  <si>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</si>
  <si>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</si>
  <si>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</si>
  <si>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</si>
  <si>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</si>
  <si>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</si>
  <si>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</si>
  <si>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</si>
  <si>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</si>
  <si>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</si>
  <si>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</si>
  <si>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</si>
  <si>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</si>
  <si>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</si>
  <si>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</si>
  <si>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</si>
  <si>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</si>
  <si>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</si>
  <si>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</si>
  <si>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</si>
  <si>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</si>
  <si>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</si>
  <si>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</si>
  <si>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</si>
  <si>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</si>
  <si>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</si>
  <si>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</si>
  <si>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</si>
  <si>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</si>
  <si>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</si>
  <si>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</si>
  <si>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</si>
  <si>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</si>
  <si>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</si>
  <si>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</si>
  <si>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</si>
  <si>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</si>
  <si>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</si>
  <si>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</si>
  <si>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</si>
  <si>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</si>
  <si>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</si>
  <si>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</si>
  <si>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</si>
  <si>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</si>
  <si>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</si>
  <si>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</si>
  <si>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</si>
  <si>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</si>
  <si>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</si>
  <si>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</si>
  <si>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</si>
  <si>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</si>
  <si>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</si>
  <si>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</si>
  <si>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</si>
  <si>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</si>
  <si>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</si>
  <si>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</si>
  <si>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</si>
  <si>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</si>
  <si>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</si>
  <si>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</si>
  <si>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</si>
  <si>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</si>
  <si>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</si>
  <si>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</si>
  <si>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</si>
  <si>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</si>
  <si>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</si>
  <si>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</si>
  <si>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</si>
  <si>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</si>
  <si>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</si>
  <si>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</si>
  <si>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</si>
  <si>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</si>
  <si>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</si>
  <si>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</si>
  <si>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</si>
  <si>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</si>
  <si>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</si>
  <si>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</si>
  <si>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</si>
  <si>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</si>
  <si>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</si>
  <si>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</si>
  <si>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</si>
  <si>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</si>
  <si>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</si>
  <si>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</si>
  <si>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</si>
  <si>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</si>
  <si>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</si>
  <si>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</si>
  <si>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</si>
  <si>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</si>
  <si>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</si>
  <si>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</si>
  <si>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</si>
  <si>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</si>
  <si>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</si>
  <si>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</si>
  <si>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</si>
  <si>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</si>
  <si>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</si>
  <si>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</si>
  <si>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</si>
  <si>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</si>
  <si>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</si>
  <si>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</si>
  <si>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</si>
  <si>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</si>
  <si>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</si>
  <si>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</si>
  <si>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</si>
  <si>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</si>
  <si>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</si>
  <si>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</si>
  <si>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</si>
  <si>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</si>
  <si>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</si>
  <si>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</si>
  <si>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</si>
  <si>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</si>
  <si>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</si>
  <si>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</si>
  <si>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</si>
  <si>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</si>
  <si>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</si>
  <si>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</si>
  <si>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</si>
  <si>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</si>
  <si>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</si>
  <si>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</si>
  <si>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</si>
  <si>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</si>
  <si>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</si>
  <si>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</si>
  <si>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</si>
  <si>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</si>
  <si>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</si>
  <si>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</si>
  <si>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</si>
  <si>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</si>
  <si>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</si>
  <si>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</si>
  <si>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</si>
  <si>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</si>
  <si>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</si>
  <si>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</si>
  <si>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</si>
  <si>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</si>
  <si>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</si>
  <si>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</si>
  <si>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</si>
  <si>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</si>
  <si>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</si>
  <si>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</si>
  <si>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</si>
  <si>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</si>
  <si>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</si>
  <si>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</si>
  <si>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</si>
  <si>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</si>
  <si>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</si>
  <si>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</si>
  <si>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</si>
  <si>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</si>
  <si>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</si>
  <si>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</si>
  <si>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</si>
  <si>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</si>
  <si>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</si>
  <si>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</si>
  <si>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</si>
  <si>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</si>
  <si>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</si>
  <si>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</si>
  <si>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</si>
  <si>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</si>
  <si>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</si>
  <si>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</si>
  <si>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</si>
  <si>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</si>
  <si>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</si>
  <si>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</si>
  <si>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</si>
  <si>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</si>
  <si>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</si>
  <si>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</si>
  <si>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</si>
  <si>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</si>
  <si>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</si>
  <si>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</si>
  <si>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</si>
  <si>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</si>
  <si>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</si>
  <si>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</si>
  <si>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</si>
  <si>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</si>
  <si>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</si>
  <si>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</si>
  <si>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</si>
  <si>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</si>
  <si>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</si>
  <si>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</si>
  <si>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</si>
  <si>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</si>
  <si>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</si>
  <si>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</si>
  <si>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</si>
  <si>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</si>
  <si>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</si>
  <si>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</si>
  <si>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</si>
  <si>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</si>
  <si>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</si>
  <si>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</si>
  <si>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</si>
  <si>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</si>
  <si>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</si>
  <si>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</si>
  <si>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</si>
  <si>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</si>
  <si>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</si>
  <si>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</si>
  <si>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</si>
  <si>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</si>
  <si>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</si>
  <si>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</si>
  <si>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</si>
  <si>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</si>
  <si>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</si>
  <si>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</si>
  <si>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</si>
  <si>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</si>
  <si>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</si>
  <si>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</si>
  <si>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</si>
  <si>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</si>
  <si>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</si>
  <si>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</si>
  <si>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</si>
  <si>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</si>
  <si>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</si>
  <si>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</si>
  <si>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</si>
  <si>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</si>
  <si>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</si>
  <si>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</si>
  <si>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</si>
  <si>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</si>
  <si>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</si>
  <si>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</si>
  <si>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</si>
  <si>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</si>
  <si>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</si>
  <si>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</si>
  <si>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</si>
  <si>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</si>
  <si>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</si>
  <si>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</si>
  <si>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</si>
  <si>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</si>
  <si>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</si>
  <si>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</si>
  <si>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</si>
  <si>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</si>
  <si>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</si>
  <si>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</si>
  <si>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</si>
  <si>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</si>
  <si>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</si>
  <si>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</si>
  <si>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</si>
  <si>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</si>
  <si>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</si>
  <si>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</si>
  <si>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</si>
  <si>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</si>
  <si>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</si>
  <si>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</si>
  <si>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</si>
  <si>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</si>
  <si>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</si>
  <si>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</si>
  <si>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</si>
  <si>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</si>
  <si>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</si>
  <si>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</si>
  <si>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</si>
  <si>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</si>
  <si>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</si>
  <si>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</si>
  <si>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</si>
  <si>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</si>
  <si>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</si>
  <si>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</si>
  <si>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</si>
  <si>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</si>
  <si>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</si>
  <si>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</si>
  <si>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</si>
  <si>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</si>
  <si>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</si>
  <si>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</si>
  <si>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</si>
  <si>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</si>
  <si>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</si>
  <si>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</si>
  <si>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</si>
  <si>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</si>
  <si>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</si>
  <si>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</si>
  <si>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</si>
  <si>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</si>
  <si>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</si>
  <si>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</si>
  <si>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</si>
  <si>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</si>
  <si>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</si>
  <si>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</si>
  <si>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</si>
  <si>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</si>
  <si>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</si>
  <si>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</si>
  <si>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</si>
  <si>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</si>
  <si>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</si>
  <si>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</si>
  <si>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</si>
  <si>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</si>
  <si>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</si>
  <si>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</si>
  <si>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</si>
  <si>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</si>
  <si>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</si>
  <si>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</si>
  <si>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</si>
  <si>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</si>
  <si>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</si>
  <si>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</si>
  <si>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</si>
  <si>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</si>
  <si>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</si>
  <si>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</si>
  <si>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</si>
  <si>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</si>
  <si>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</si>
  <si>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</si>
  <si>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</si>
  <si>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</si>
  <si>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</si>
  <si>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</si>
  <si>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</si>
  <si>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</si>
  <si>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</si>
  <si>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</si>
  <si>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</si>
  <si>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</si>
  <si>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</si>
  <si>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</si>
  <si>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</si>
  <si>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</si>
  <si>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</si>
  <si>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</si>
  <si>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</si>
  <si>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</si>
  <si>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</si>
  <si>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</si>
  <si>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</si>
  <si>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</si>
  <si>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</si>
  <si>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</si>
  <si>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</si>
  <si>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</si>
  <si>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</si>
  <si>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</si>
  <si>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</si>
  <si>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</si>
  <si>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</si>
  <si>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</si>
  <si>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</si>
  <si>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</si>
  <si>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</si>
  <si>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</si>
  <si>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</si>
  <si>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</si>
  <si>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</si>
  <si>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</si>
  <si>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</si>
  <si>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</si>
  <si>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</si>
  <si>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</si>
  <si>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</si>
  <si>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</si>
  <si>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</si>
  <si>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</si>
  <si>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</si>
  <si>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</si>
  <si>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</si>
  <si>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</si>
  <si>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</si>
  <si>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</si>
  <si>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</si>
  <si>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</si>
  <si>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</si>
  <si>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</si>
  <si>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</si>
  <si>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</si>
  <si>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</si>
  <si>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</si>
  <si>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</si>
  <si>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</si>
  <si>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</si>
  <si>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</si>
  <si>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</si>
  <si>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</si>
  <si>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</si>
  <si>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</si>
  <si>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</si>
  <si>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</si>
  <si>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</si>
  <si>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</si>
  <si>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</si>
  <si>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</si>
  <si>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</si>
  <si>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</si>
  <si>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</si>
  <si>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</si>
  <si>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</si>
  <si>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</si>
  <si>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</si>
  <si>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</si>
  <si>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</si>
  <si>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</si>
  <si>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</si>
  <si>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</si>
  <si>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</si>
  <si>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</si>
  <si>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</si>
  <si>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</si>
  <si>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</si>
  <si>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</si>
  <si>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</si>
  <si>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</si>
  <si>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</si>
  <si>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</si>
  <si>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</si>
  <si>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</si>
  <si>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</si>
  <si>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</si>
  <si>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</si>
  <si>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</si>
  <si>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</si>
  <si>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</si>
  <si>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</si>
  <si>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</si>
  <si>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</si>
  <si>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</si>
  <si>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</si>
  <si>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</si>
  <si>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</si>
  <si>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</si>
  <si>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</si>
  <si>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</si>
  <si>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</si>
  <si>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</si>
  <si>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</si>
  <si>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</si>
  <si>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</si>
  <si>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</si>
  <si>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</si>
  <si>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</si>
  <si>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</si>
  <si>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</si>
  <si>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</si>
  <si>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</si>
  <si>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</si>
  <si>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</si>
  <si>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</si>
  <si>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</si>
  <si>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</si>
  <si>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</si>
  <si>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</si>
  <si>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</si>
  <si>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</si>
  <si>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</si>
  <si>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</si>
  <si>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</si>
  <si>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</si>
  <si>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</si>
  <si>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</si>
  <si>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</si>
  <si>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</si>
  <si>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</si>
  <si>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</si>
  <si>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</si>
  <si>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</si>
  <si>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</si>
  <si>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</si>
  <si>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</si>
  <si>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</si>
  <si>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</si>
  <si>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</si>
  <si>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</si>
  <si>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</si>
  <si>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</si>
  <si>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</si>
  <si>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</si>
  <si>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</si>
  <si>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</si>
  <si>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</si>
  <si>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</si>
  <si>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</si>
  <si>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</si>
  <si>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</si>
  <si>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</si>
  <si>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</si>
  <si>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</si>
  <si>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</si>
  <si>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</si>
  <si>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</si>
  <si>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</si>
  <si>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</si>
  <si>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</si>
  <si>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</si>
  <si>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</si>
  <si>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</si>
  <si>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</si>
  <si>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</si>
  <si>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</si>
  <si>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</si>
  <si>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</si>
  <si>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</si>
  <si>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</si>
  <si>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</si>
  <si>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</si>
  <si>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</si>
  <si>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</si>
  <si>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</si>
  <si>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</si>
  <si>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</si>
  <si>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</si>
  <si>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</si>
  <si>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</si>
  <si>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</si>
  <si>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</si>
  <si>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</si>
  <si>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</si>
  <si>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</si>
  <si>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</si>
  <si>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</si>
  <si>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</si>
  <si>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</si>
  <si>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</si>
  <si>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</si>
  <si>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</si>
  <si>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</si>
  <si>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</si>
  <si>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</si>
  <si>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</si>
  <si>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</si>
  <si>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</si>
  <si>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</si>
  <si>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</si>
  <si>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</si>
  <si>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</si>
  <si>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</si>
  <si>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</si>
  <si>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</si>
  <si>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</si>
  <si>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</si>
  <si>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</si>
  <si>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</si>
  <si>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</si>
  <si>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</si>
  <si>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</si>
  <si>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</si>
  <si>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</si>
  <si>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</si>
  <si>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</si>
  <si>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</si>
  <si>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</si>
  <si>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</si>
  <si>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</si>
  <si>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</si>
  <si>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</si>
  <si>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</si>
  <si>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</si>
  <si>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</si>
  <si>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</si>
  <si>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</si>
  <si>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</si>
  <si>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</si>
  <si>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</si>
  <si>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</si>
  <si>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</si>
  <si>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</si>
  <si>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</si>
  <si>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</si>
  <si>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</si>
  <si>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</si>
  <si>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</si>
  <si>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</si>
  <si>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</si>
  <si>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</si>
  <si>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</si>
  <si>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</si>
  <si>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</si>
  <si>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</si>
  <si>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</si>
  <si>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</si>
  <si>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</si>
  <si>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</si>
  <si>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</si>
  <si>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</si>
  <si>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</si>
  <si>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</si>
  <si>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</si>
  <si>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</si>
  <si>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</si>
  <si>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</si>
  <si>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</si>
  <si>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</si>
  <si>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</si>
  <si>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</si>
  <si>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</si>
  <si>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</si>
  <si>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</si>
  <si>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</si>
  <si>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</si>
  <si>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</si>
  <si>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</si>
  <si>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</si>
  <si>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</si>
  <si>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</si>
  <si>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</si>
  <si>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</si>
  <si>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</si>
  <si>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</si>
  <si>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</si>
  <si>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</si>
  <si>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</si>
  <si>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</si>
  <si>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</si>
  <si>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</si>
  <si>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</si>
  <si>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</si>
  <si>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</si>
  <si>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</si>
  <si>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</si>
  <si>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</si>
  <si>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</si>
  <si>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</si>
  <si>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</si>
  <si>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</si>
  <si>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</si>
  <si>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</si>
  <si>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</si>
  <si>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</si>
  <si>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</si>
  <si>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</si>
  <si>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</si>
  <si>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</si>
  <si>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</si>
  <si>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</si>
  <si>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</si>
  <si>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</si>
  <si>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</si>
  <si>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</si>
  <si>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</si>
  <si>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</si>
  <si>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</si>
  <si>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</si>
  <si>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</si>
  <si>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</si>
  <si>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</si>
  <si>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</si>
  <si>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</si>
  <si>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</si>
  <si>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</si>
  <si>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</si>
  <si>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</si>
  <si>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</si>
  <si>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</si>
  <si>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</si>
  <si>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</si>
  <si>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</si>
  <si>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</si>
  <si>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</si>
  <si>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</si>
  <si>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</si>
  <si>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</si>
  <si>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</si>
  <si>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</si>
  <si>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</si>
  <si>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</si>
  <si>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</si>
  <si>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</si>
  <si>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</si>
  <si>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</si>
  <si>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</si>
  <si>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</si>
  <si>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</si>
  <si>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</si>
  <si>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</si>
  <si>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</si>
  <si>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</si>
  <si>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</si>
  <si>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</si>
  <si>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</si>
  <si>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</si>
  <si>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</si>
  <si>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</si>
  <si>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</si>
  <si>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</si>
  <si>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</si>
  <si>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</si>
  <si>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</si>
  <si>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</si>
  <si>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</si>
  <si>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</si>
  <si>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</si>
  <si>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</si>
  <si>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</si>
  <si>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</si>
  <si>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</si>
  <si>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</si>
  <si>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</si>
  <si>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</si>
  <si>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</si>
  <si>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</si>
  <si>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</si>
  <si>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</si>
  <si>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</si>
  <si>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</si>
  <si>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</si>
  <si>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</si>
  <si>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</si>
  <si>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</si>
  <si>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</si>
  <si>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</si>
  <si>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</si>
  <si>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</si>
  <si>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</si>
  <si>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</si>
  <si>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</si>
  <si>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</si>
  <si>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</si>
  <si>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</si>
  <si>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</si>
  <si>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</si>
  <si>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</si>
  <si>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</si>
  <si>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</si>
  <si>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</si>
  <si>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</si>
  <si>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</si>
  <si>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</si>
  <si>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</si>
  <si>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 АЛБЕНА"  АД</t>
  </si>
  <si>
    <t>Ел. Атанасова</t>
  </si>
  <si>
    <t>Кр.Станев</t>
  </si>
  <si>
    <t>Ел.Атанасова</t>
  </si>
  <si>
    <t>Отчетен период:  .</t>
  </si>
  <si>
    <t xml:space="preserve">                Ел.Атанасова</t>
  </si>
  <si>
    <t xml:space="preserve">                Кр.Станев</t>
  </si>
  <si>
    <t xml:space="preserve">                 Кр.Станев</t>
  </si>
  <si>
    <t>1. Екострой  АД</t>
  </si>
  <si>
    <t>2.Еко Агро АД</t>
  </si>
  <si>
    <t>3. Албена кар  ЕООД</t>
  </si>
  <si>
    <t>3."Здравно Учреждение Медика-Албена"</t>
  </si>
  <si>
    <t>1. ЗПАД България</t>
  </si>
  <si>
    <t>2. Sunny greens</t>
  </si>
  <si>
    <t>3. Химко Враца</t>
  </si>
  <si>
    <t>4. Кремиковци АД</t>
  </si>
  <si>
    <t xml:space="preserve">1. Hotel des Masques </t>
  </si>
  <si>
    <t xml:space="preserve">               Ел.Атанасова</t>
  </si>
  <si>
    <t xml:space="preserve">               Кр.Станев</t>
  </si>
  <si>
    <t>4. Бялата лагуна АД</t>
  </si>
  <si>
    <t>2.Визит България ЕООД</t>
  </si>
  <si>
    <t>5. МЦ Медика Албена  ЕАД</t>
  </si>
  <si>
    <t>6.Албена Тур АД</t>
  </si>
  <si>
    <t>7. Диализен център  ЕООД</t>
  </si>
  <si>
    <t>8. Тихия кът АД</t>
  </si>
  <si>
    <t>9. Екоплод ООД</t>
  </si>
  <si>
    <t>10. Албенаинвест Холдинг</t>
  </si>
  <si>
    <t>11.Албена Автотранс</t>
  </si>
  <si>
    <t xml:space="preserve">неконсолидиран </t>
  </si>
  <si>
    <t>Вид на отчета:неконсолидиран</t>
  </si>
  <si>
    <t xml:space="preserve">Вид на отчета: неконсолидиран  </t>
  </si>
  <si>
    <t xml:space="preserve">Вид на отчета:неконсолидиран </t>
  </si>
  <si>
    <t>Дата на съставяне: 30.03.2009 г.</t>
  </si>
  <si>
    <t>Дата на съставяне:30.03.2009 г.</t>
  </si>
  <si>
    <t xml:space="preserve">Дата на съставяне:30.03.2009 г.                      </t>
  </si>
  <si>
    <t xml:space="preserve">Дата  на съставяне: 30.03.2009 г.                                                                                                                              </t>
  </si>
  <si>
    <t xml:space="preserve">Дата на съставяне: 30.03.2009 г.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</si>
</sst>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#,##0\ _л_в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8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10" fillId="7" borderId="1" xfId="0" applyNumberFormat="1" applyFont="1" applyFill="1" applyBorder="1" applyAlignment="1" applyProtection="1">
      <alignment horizontal="right" vertical="top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">
      <selection activeCell="A99" sqref="A99"/>
    </sheetView>
  </sheetViews>
  <sheetFormatPr defaultColWidth="9.00390625" defaultRowHeight="12.75"/>
  <cols>
    <col min="1" max="1" width="43.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625" style="223" customWidth="1"/>
    <col min="6" max="6" width="9.50390625" style="228" customWidth="1"/>
    <col min="7" max="7" width="12.625" style="223" customWidth="1"/>
    <col min="8" max="8" width="18.625" style="229" customWidth="1"/>
    <col min="9" max="9" width="3.50390625" style="203" customWidth="1"/>
    <col min="10" max="16384" width="9.37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28.5">
      <c r="A3" s="204" t="s">
        <v>1</v>
      </c>
      <c r="B3" s="268"/>
      <c r="C3" s="268"/>
      <c r="D3" s="268"/>
      <c r="E3" s="574" t="s">
        <v>857</v>
      </c>
      <c r="F3" s="273" t="s">
        <v>2</v>
      </c>
      <c r="G3" s="226"/>
      <c r="H3" s="594">
        <v>834025872</v>
      </c>
    </row>
    <row r="4" spans="1:8" ht="15">
      <c r="A4" s="204" t="s">
        <v>886</v>
      </c>
      <c r="B4" s="582"/>
      <c r="C4" s="582"/>
      <c r="D4" s="583"/>
      <c r="E4" s="575" t="s">
        <v>885</v>
      </c>
      <c r="F4" s="224" t="s">
        <v>3</v>
      </c>
      <c r="G4" s="225"/>
      <c r="H4" s="594">
        <v>462</v>
      </c>
    </row>
    <row r="5" spans="1:8" ht="15">
      <c r="A5" s="204" t="s">
        <v>861</v>
      </c>
      <c r="B5" s="268"/>
      <c r="C5" s="268"/>
      <c r="D5" s="268"/>
      <c r="E5" s="595">
        <v>39813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4" t="s">
        <v>15</v>
      </c>
      <c r="B9" s="285"/>
      <c r="C9" s="286"/>
      <c r="D9" s="287"/>
      <c r="E9" s="552" t="s">
        <v>16</v>
      </c>
      <c r="F9" s="288"/>
      <c r="G9" s="289"/>
      <c r="H9" s="290"/>
    </row>
    <row r="10" spans="1:8" ht="25.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49769</v>
      </c>
      <c r="D11" s="205">
        <v>46820</v>
      </c>
      <c r="E11" s="293" t="s">
        <v>21</v>
      </c>
      <c r="F11" s="298" t="s">
        <v>22</v>
      </c>
      <c r="G11" s="206">
        <v>4273</v>
      </c>
      <c r="H11" s="206">
        <v>4273</v>
      </c>
    </row>
    <row r="12" spans="1:8" ht="15">
      <c r="A12" s="291" t="s">
        <v>23</v>
      </c>
      <c r="B12" s="297" t="s">
        <v>24</v>
      </c>
      <c r="C12" s="205">
        <v>282693</v>
      </c>
      <c r="D12" s="205">
        <v>259687</v>
      </c>
      <c r="E12" s="293" t="s">
        <v>25</v>
      </c>
      <c r="F12" s="298" t="s">
        <v>26</v>
      </c>
      <c r="G12" s="207"/>
      <c r="H12" s="207"/>
    </row>
    <row r="13" spans="1:8" ht="15">
      <c r="A13" s="291" t="s">
        <v>27</v>
      </c>
      <c r="B13" s="297" t="s">
        <v>28</v>
      </c>
      <c r="C13" s="205">
        <v>10696</v>
      </c>
      <c r="D13" s="205">
        <v>7211</v>
      </c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>
        <v>33884</v>
      </c>
      <c r="D14" s="205">
        <v>31219</v>
      </c>
      <c r="E14" s="299" t="s">
        <v>33</v>
      </c>
      <c r="F14" s="298" t="s">
        <v>34</v>
      </c>
      <c r="G14" s="391">
        <v>-1536</v>
      </c>
      <c r="H14" s="391">
        <v>-1536</v>
      </c>
    </row>
    <row r="15" spans="1:8" ht="15">
      <c r="A15" s="291" t="s">
        <v>35</v>
      </c>
      <c r="B15" s="297" t="s">
        <v>36</v>
      </c>
      <c r="C15" s="205">
        <v>912</v>
      </c>
      <c r="D15" s="205">
        <v>1013</v>
      </c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>
        <v>11150</v>
      </c>
      <c r="D16" s="205">
        <v>6541</v>
      </c>
      <c r="E16" s="299" t="s">
        <v>41</v>
      </c>
      <c r="F16" s="298" t="s">
        <v>42</v>
      </c>
      <c r="G16" s="391"/>
      <c r="H16" s="597"/>
    </row>
    <row r="17" spans="1:18" ht="25.5">
      <c r="A17" s="291" t="s">
        <v>43</v>
      </c>
      <c r="B17" s="297" t="s">
        <v>44</v>
      </c>
      <c r="C17" s="205">
        <v>3684</v>
      </c>
      <c r="D17" s="205">
        <v>11525</v>
      </c>
      <c r="E17" s="299" t="s">
        <v>45</v>
      </c>
      <c r="F17" s="301" t="s">
        <v>46</v>
      </c>
      <c r="G17" s="208">
        <f>G11+G14+G15+G16</f>
        <v>2737</v>
      </c>
      <c r="H17" s="208">
        <f>H11+H14+H15+H16</f>
        <v>2737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392788</v>
      </c>
      <c r="D19" s="209">
        <f>SUM(D11:D18)</f>
        <v>364016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>
        <v>17253</v>
      </c>
      <c r="D20" s="205">
        <v>11072</v>
      </c>
      <c r="E20" s="293" t="s">
        <v>56</v>
      </c>
      <c r="F20" s="298" t="s">
        <v>57</v>
      </c>
      <c r="G20" s="212">
        <v>81360</v>
      </c>
      <c r="H20" s="212">
        <v>83004</v>
      </c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148468</v>
      </c>
      <c r="H21" s="210">
        <f>SUM(H22:H24)</f>
        <v>132989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427</v>
      </c>
      <c r="H22" s="206">
        <v>427</v>
      </c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>
        <v>948</v>
      </c>
      <c r="D24" s="205">
        <v>1170</v>
      </c>
      <c r="E24" s="293" t="s">
        <v>71</v>
      </c>
      <c r="F24" s="298" t="s">
        <v>72</v>
      </c>
      <c r="G24" s="206">
        <v>148041</v>
      </c>
      <c r="H24" s="206">
        <v>132562</v>
      </c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229828</v>
      </c>
      <c r="H25" s="208">
        <f>H19+H20+H21</f>
        <v>215993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>
        <v>498</v>
      </c>
      <c r="D26" s="205">
        <v>484</v>
      </c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1446</v>
      </c>
      <c r="D27" s="209">
        <f>SUM(D23:D26)</f>
        <v>1654</v>
      </c>
      <c r="E27" s="309" t="s">
        <v>82</v>
      </c>
      <c r="F27" s="298" t="s">
        <v>83</v>
      </c>
      <c r="G27" s="208">
        <f>SUM(G28:G30)</f>
        <v>40958</v>
      </c>
      <c r="H27" s="208">
        <f>SUM(H28:H30)</f>
        <v>39314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>
        <v>40958</v>
      </c>
      <c r="H28" s="206">
        <v>39314</v>
      </c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/>
      <c r="H29" s="391"/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>
        <v>13885</v>
      </c>
      <c r="H31" s="206">
        <v>17729</v>
      </c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54843</v>
      </c>
      <c r="H33" s="208">
        <f>H27+H31+H32</f>
        <v>57043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846</v>
      </c>
      <c r="B34" s="300" t="s">
        <v>104</v>
      </c>
      <c r="C34" s="209">
        <f>SUM(C35:C38)</f>
        <v>27542</v>
      </c>
      <c r="D34" s="209">
        <f>SUM(D35:D38)</f>
        <v>26549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>
        <v>27502</v>
      </c>
      <c r="D35" s="205">
        <v>26509</v>
      </c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287408</v>
      </c>
      <c r="H36" s="208">
        <f>H25+H17+H33</f>
        <v>275773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>
        <v>24</v>
      </c>
      <c r="D37" s="205">
        <v>24</v>
      </c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>
        <v>16</v>
      </c>
      <c r="D38" s="205">
        <v>16</v>
      </c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3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3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25.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>
        <v>7570</v>
      </c>
      <c r="H43" s="206">
        <v>3335</v>
      </c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>
        <v>112959</v>
      </c>
      <c r="H44" s="206">
        <v>95327</v>
      </c>
    </row>
    <row r="45" spans="1:15" ht="15">
      <c r="A45" s="291" t="s">
        <v>135</v>
      </c>
      <c r="B45" s="305" t="s">
        <v>136</v>
      </c>
      <c r="C45" s="209">
        <f>C34+C39+C44</f>
        <v>27542</v>
      </c>
      <c r="D45" s="209">
        <f>D34+D39+D44</f>
        <v>26549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>
        <v>44</v>
      </c>
      <c r="D47" s="205">
        <v>690</v>
      </c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/>
      <c r="H48" s="206"/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120529</v>
      </c>
      <c r="H49" s="208">
        <f>SUM(H43:H48)</f>
        <v>98662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>
        <v>104</v>
      </c>
      <c r="D50" s="205">
        <v>46</v>
      </c>
      <c r="E50" s="293"/>
      <c r="F50" s="298"/>
      <c r="G50" s="308"/>
      <c r="H50" s="208"/>
    </row>
    <row r="51" spans="1:15" ht="27">
      <c r="A51" s="291" t="s">
        <v>154</v>
      </c>
      <c r="B51" s="305" t="s">
        <v>155</v>
      </c>
      <c r="C51" s="209">
        <f>SUM(C47:C50)</f>
        <v>148</v>
      </c>
      <c r="D51" s="209">
        <f>SUM(D47:D50)</f>
        <v>736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>
        <v>1545</v>
      </c>
      <c r="D53" s="205">
        <v>4735</v>
      </c>
      <c r="E53" s="293" t="s">
        <v>163</v>
      </c>
      <c r="F53" s="301" t="s">
        <v>164</v>
      </c>
      <c r="G53" s="206">
        <v>13624</v>
      </c>
      <c r="H53" s="206">
        <v>13071</v>
      </c>
    </row>
    <row r="54" spans="1:8" ht="27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>
        <v>4485</v>
      </c>
      <c r="H54" s="206">
        <v>4776</v>
      </c>
    </row>
    <row r="55" spans="1:18" ht="25.5">
      <c r="A55" s="325" t="s">
        <v>169</v>
      </c>
      <c r="B55" s="326" t="s">
        <v>170</v>
      </c>
      <c r="C55" s="209">
        <f>C19+C20+C21+C27+C32+C45+C51+C53+C54</f>
        <v>440722</v>
      </c>
      <c r="D55" s="209">
        <f>D19+D20+D21+D27+D32+D45+D51+D53+D54</f>
        <v>408762</v>
      </c>
      <c r="E55" s="293" t="s">
        <v>171</v>
      </c>
      <c r="F55" s="317" t="s">
        <v>172</v>
      </c>
      <c r="G55" s="208">
        <f>G49+G51+G52+G53+G54</f>
        <v>138638</v>
      </c>
      <c r="H55" s="208">
        <f>H49+H51+H52+H53+H54</f>
        <v>116509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5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8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>
        <v>1904</v>
      </c>
      <c r="D58" s="205">
        <v>2098</v>
      </c>
      <c r="E58" s="293" t="s">
        <v>126</v>
      </c>
      <c r="F58" s="328"/>
      <c r="G58" s="308"/>
      <c r="H58" s="208"/>
    </row>
    <row r="59" spans="1:13" ht="25.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>
        <v>13749</v>
      </c>
      <c r="H59" s="206">
        <v>13337</v>
      </c>
      <c r="M59" s="211"/>
    </row>
    <row r="60" spans="1:8" ht="15">
      <c r="A60" s="291" t="s">
        <v>182</v>
      </c>
      <c r="B60" s="297" t="s">
        <v>183</v>
      </c>
      <c r="C60" s="205">
        <v>744</v>
      </c>
      <c r="D60" s="205">
        <v>526</v>
      </c>
      <c r="E60" s="293" t="s">
        <v>184</v>
      </c>
      <c r="F60" s="298" t="s">
        <v>185</v>
      </c>
      <c r="G60" s="206">
        <v>767</v>
      </c>
      <c r="H60" s="206">
        <v>2636</v>
      </c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14176</v>
      </c>
      <c r="H61" s="208">
        <f>SUM(H62:H68)</f>
        <v>15041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>
        <v>1745</v>
      </c>
      <c r="H62" s="206">
        <v>2501</v>
      </c>
    </row>
    <row r="63" spans="1:13" ht="15">
      <c r="A63" s="291" t="s">
        <v>194</v>
      </c>
      <c r="B63" s="297" t="s">
        <v>195</v>
      </c>
      <c r="C63" s="205">
        <v>2</v>
      </c>
      <c r="D63" s="205">
        <v>19</v>
      </c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2650</v>
      </c>
      <c r="D64" s="209">
        <f>SUM(D58:D63)</f>
        <v>2643</v>
      </c>
      <c r="E64" s="293" t="s">
        <v>199</v>
      </c>
      <c r="F64" s="298" t="s">
        <v>200</v>
      </c>
      <c r="G64" s="206">
        <v>10113</v>
      </c>
      <c r="H64" s="206">
        <v>9952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>
        <v>1951</v>
      </c>
      <c r="H65" s="206">
        <v>1972</v>
      </c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>
        <v>212</v>
      </c>
      <c r="H66" s="206">
        <v>483</v>
      </c>
    </row>
    <row r="67" spans="1:8" ht="15">
      <c r="A67" s="291" t="s">
        <v>206</v>
      </c>
      <c r="B67" s="297" t="s">
        <v>207</v>
      </c>
      <c r="C67" s="205">
        <v>6282</v>
      </c>
      <c r="D67" s="205">
        <v>6374</v>
      </c>
      <c r="E67" s="293" t="s">
        <v>208</v>
      </c>
      <c r="F67" s="298" t="s">
        <v>209</v>
      </c>
      <c r="G67" s="206">
        <v>93</v>
      </c>
      <c r="H67" s="206">
        <v>113</v>
      </c>
    </row>
    <row r="68" spans="1:8" ht="15">
      <c r="A68" s="291" t="s">
        <v>210</v>
      </c>
      <c r="B68" s="297" t="s">
        <v>211</v>
      </c>
      <c r="C68" s="205">
        <v>3596</v>
      </c>
      <c r="D68" s="205">
        <v>2417</v>
      </c>
      <c r="E68" s="293" t="s">
        <v>212</v>
      </c>
      <c r="F68" s="298" t="s">
        <v>213</v>
      </c>
      <c r="G68" s="206">
        <v>62</v>
      </c>
      <c r="H68" s="206">
        <v>20</v>
      </c>
    </row>
    <row r="69" spans="1:8" ht="15">
      <c r="A69" s="291" t="s">
        <v>214</v>
      </c>
      <c r="B69" s="297" t="s">
        <v>215</v>
      </c>
      <c r="C69" s="205">
        <v>452</v>
      </c>
      <c r="D69" s="205">
        <v>620</v>
      </c>
      <c r="E69" s="307" t="s">
        <v>77</v>
      </c>
      <c r="F69" s="298" t="s">
        <v>216</v>
      </c>
      <c r="G69" s="206">
        <v>847</v>
      </c>
      <c r="H69" s="206">
        <v>800</v>
      </c>
    </row>
    <row r="70" spans="1:8" ht="25.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>
        <v>118</v>
      </c>
      <c r="D71" s="205">
        <v>29</v>
      </c>
      <c r="E71" s="309" t="s">
        <v>45</v>
      </c>
      <c r="F71" s="329" t="s">
        <v>223</v>
      </c>
      <c r="G71" s="215">
        <f>G59+G60+G61+G69+G70</f>
        <v>29539</v>
      </c>
      <c r="H71" s="215">
        <f>H59+H60+H61+H69+H70</f>
        <v>31814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>
        <v>536</v>
      </c>
      <c r="D72" s="205">
        <v>1119</v>
      </c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27">
      <c r="A74" s="291" t="s">
        <v>228</v>
      </c>
      <c r="B74" s="297" t="s">
        <v>229</v>
      </c>
      <c r="C74" s="205">
        <v>726</v>
      </c>
      <c r="D74" s="205">
        <v>783</v>
      </c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11710</v>
      </c>
      <c r="D75" s="209">
        <f>SUM(D67:D74)</f>
        <v>11342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27">
      <c r="A76" s="291"/>
      <c r="B76" s="297"/>
      <c r="C76" s="308"/>
      <c r="D76" s="209"/>
      <c r="E76" s="293" t="s">
        <v>234</v>
      </c>
      <c r="F76" s="301" t="s">
        <v>235</v>
      </c>
      <c r="G76" s="206"/>
      <c r="H76" s="206">
        <v>49</v>
      </c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25.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29539</v>
      </c>
      <c r="H79" s="216">
        <f>H71+H74+H75+H76</f>
        <v>31863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25.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43</v>
      </c>
      <c r="D87" s="205">
        <v>36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412</v>
      </c>
      <c r="D88" s="205">
        <v>806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>
        <v>48</v>
      </c>
      <c r="D89" s="205">
        <v>556</v>
      </c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503</v>
      </c>
      <c r="D91" s="209">
        <f>SUM(D87:D90)</f>
        <v>1398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14863</v>
      </c>
      <c r="D93" s="209">
        <f>D64+D75+D84+D91+D92</f>
        <v>15383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26.25" thickBot="1">
      <c r="A94" s="556" t="s">
        <v>267</v>
      </c>
      <c r="B94" s="344" t="s">
        <v>268</v>
      </c>
      <c r="C94" s="218">
        <f>C93+C55</f>
        <v>455585</v>
      </c>
      <c r="D94" s="218">
        <f>D93+D55</f>
        <v>424145</v>
      </c>
      <c r="E94" s="557" t="s">
        <v>269</v>
      </c>
      <c r="F94" s="345" t="s">
        <v>270</v>
      </c>
      <c r="G94" s="219">
        <f>G36+G39+G55+G79</f>
        <v>455585</v>
      </c>
      <c r="H94" s="219">
        <f>H36+H39+H55+H79</f>
        <v>424145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847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889</v>
      </c>
      <c r="B98" s="539"/>
      <c r="C98" s="612" t="s">
        <v>817</v>
      </c>
      <c r="D98" s="612"/>
      <c r="E98" s="612"/>
      <c r="F98" s="224"/>
      <c r="G98" s="225"/>
      <c r="H98" s="226"/>
      <c r="M98" s="211"/>
    </row>
    <row r="99" spans="3:8" ht="15">
      <c r="C99" s="78"/>
      <c r="D99" s="1" t="s">
        <v>858</v>
      </c>
      <c r="E99" s="78"/>
      <c r="F99" s="224"/>
      <c r="G99" s="225"/>
      <c r="H99" s="226"/>
    </row>
    <row r="100" spans="1:5" ht="15">
      <c r="A100" s="227"/>
      <c r="B100" s="227"/>
      <c r="C100" s="612" t="s">
        <v>779</v>
      </c>
      <c r="D100" s="613"/>
      <c r="E100" s="613"/>
    </row>
    <row r="101" ht="12.75">
      <c r="D101" s="223" t="s">
        <v>859</v>
      </c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11:D18 G74:H76 C30:D30 C20:D21 C40:D44 C23:D26 C47:D50 C35:D38 C53:D54 C79:D83 C58:D63 C92:D92 G11:H13 G62:H70 C67:D74 G59:H60 G28:H28 G19:H19 G22:H24 G31:H31 G43:H48 C87: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24" bottom="0.19" header="0.17" footer="0.17"/>
  <pageSetup fitToHeight="1000" fitToWidth="1" horizontalDpi="300" verticalDpi="300" orientation="portrait" paperSize="9" scale="5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C38" sqref="C38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625" style="27" customWidth="1"/>
    <col min="5" max="5" width="32.50390625" style="32" customWidth="1"/>
    <col min="6" max="6" width="9.00390625" style="32" customWidth="1"/>
    <col min="7" max="7" width="11.375" style="27" customWidth="1"/>
    <col min="8" max="8" width="16.375" style="27" customWidth="1"/>
    <col min="9" max="16384" width="9.37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 АЛБЕНА"  АД</v>
      </c>
      <c r="F2" s="616" t="s">
        <v>2</v>
      </c>
      <c r="G2" s="616"/>
      <c r="H2" s="353">
        <f>'справка №1-БАЛАНС'!H3</f>
        <v>834025872</v>
      </c>
    </row>
    <row r="3" spans="1:8" ht="15">
      <c r="A3" s="6" t="s">
        <v>887</v>
      </c>
      <c r="B3" s="533"/>
      <c r="C3" s="533"/>
      <c r="D3" s="533"/>
      <c r="E3" s="533" t="str">
        <f>'справка №1-БАЛАНС'!E4</f>
        <v>неконсолидиран </v>
      </c>
      <c r="F3" s="568" t="s">
        <v>3</v>
      </c>
      <c r="G3" s="354"/>
      <c r="H3" s="353">
        <f>'справка №1-БАЛАНС'!H4</f>
        <v>462</v>
      </c>
    </row>
    <row r="4" spans="1:8" ht="17.25" customHeight="1">
      <c r="A4" s="6" t="s">
        <v>4</v>
      </c>
      <c r="B4" s="570"/>
      <c r="C4" s="570"/>
      <c r="D4" s="570"/>
      <c r="E4" s="603">
        <v>39813</v>
      </c>
      <c r="F4" s="351"/>
      <c r="G4" s="352"/>
      <c r="H4" s="355" t="s">
        <v>272</v>
      </c>
    </row>
    <row r="5" spans="1:8" ht="24">
      <c r="A5" s="356" t="s">
        <v>273</v>
      </c>
      <c r="B5" s="357" t="s">
        <v>7</v>
      </c>
      <c r="C5" s="356" t="s">
        <v>8</v>
      </c>
      <c r="D5" s="358" t="s">
        <v>12</v>
      </c>
      <c r="E5" s="359" t="s">
        <v>274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275</v>
      </c>
      <c r="B7" s="174"/>
      <c r="C7" s="85"/>
      <c r="D7" s="85"/>
      <c r="E7" s="174" t="s">
        <v>276</v>
      </c>
      <c r="F7" s="360"/>
      <c r="G7" s="88"/>
      <c r="H7" s="88"/>
    </row>
    <row r="8" spans="1:8" ht="24">
      <c r="A8" s="361" t="s">
        <v>277</v>
      </c>
      <c r="B8" s="361"/>
      <c r="C8" s="362"/>
      <c r="D8" s="83"/>
      <c r="E8" s="361" t="s">
        <v>278</v>
      </c>
      <c r="F8" s="360"/>
      <c r="G8" s="88"/>
      <c r="H8" s="88"/>
    </row>
    <row r="9" spans="1:8" ht="12">
      <c r="A9" s="363" t="s">
        <v>279</v>
      </c>
      <c r="B9" s="364" t="s">
        <v>280</v>
      </c>
      <c r="C9" s="79">
        <v>14086</v>
      </c>
      <c r="D9" s="79">
        <v>12830</v>
      </c>
      <c r="E9" s="363" t="s">
        <v>281</v>
      </c>
      <c r="F9" s="365" t="s">
        <v>282</v>
      </c>
      <c r="G9" s="87"/>
      <c r="H9" s="87"/>
    </row>
    <row r="10" spans="1:8" ht="12">
      <c r="A10" s="363" t="s">
        <v>283</v>
      </c>
      <c r="B10" s="364" t="s">
        <v>284</v>
      </c>
      <c r="C10" s="79">
        <v>12205</v>
      </c>
      <c r="D10" s="79">
        <v>13252</v>
      </c>
      <c r="E10" s="363" t="s">
        <v>285</v>
      </c>
      <c r="F10" s="365" t="s">
        <v>286</v>
      </c>
      <c r="G10" s="87">
        <v>44692</v>
      </c>
      <c r="H10" s="87">
        <v>40630</v>
      </c>
    </row>
    <row r="11" spans="1:8" ht="12">
      <c r="A11" s="363" t="s">
        <v>287</v>
      </c>
      <c r="B11" s="364" t="s">
        <v>288</v>
      </c>
      <c r="C11" s="79">
        <v>14050</v>
      </c>
      <c r="D11" s="79">
        <v>12751</v>
      </c>
      <c r="E11" s="366" t="s">
        <v>289</v>
      </c>
      <c r="F11" s="365" t="s">
        <v>290</v>
      </c>
      <c r="G11" s="87">
        <v>40406</v>
      </c>
      <c r="H11" s="87">
        <v>40872</v>
      </c>
    </row>
    <row r="12" spans="1:8" ht="12">
      <c r="A12" s="363" t="s">
        <v>291</v>
      </c>
      <c r="B12" s="364" t="s">
        <v>292</v>
      </c>
      <c r="C12" s="79">
        <v>13056</v>
      </c>
      <c r="D12" s="79">
        <v>10384</v>
      </c>
      <c r="E12" s="366" t="s">
        <v>77</v>
      </c>
      <c r="F12" s="365" t="s">
        <v>293</v>
      </c>
      <c r="G12" s="87">
        <v>11195</v>
      </c>
      <c r="H12" s="87">
        <v>12731</v>
      </c>
    </row>
    <row r="13" spans="1:18" ht="12">
      <c r="A13" s="363" t="s">
        <v>294</v>
      </c>
      <c r="B13" s="364" t="s">
        <v>295</v>
      </c>
      <c r="C13" s="79">
        <v>2254</v>
      </c>
      <c r="D13" s="79">
        <v>2122</v>
      </c>
      <c r="E13" s="367" t="s">
        <v>50</v>
      </c>
      <c r="F13" s="368" t="s">
        <v>296</v>
      </c>
      <c r="G13" s="88">
        <f>SUM(G9:G12)</f>
        <v>96293</v>
      </c>
      <c r="H13" s="88">
        <f>SUM(H9:H12)</f>
        <v>94233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24">
      <c r="A14" s="363" t="s">
        <v>297</v>
      </c>
      <c r="B14" s="364" t="s">
        <v>298</v>
      </c>
      <c r="C14" s="79">
        <v>17099</v>
      </c>
      <c r="D14" s="79">
        <v>15797</v>
      </c>
      <c r="E14" s="366"/>
      <c r="F14" s="369"/>
      <c r="G14" s="390"/>
      <c r="H14" s="390"/>
    </row>
    <row r="15" spans="1:8" ht="24">
      <c r="A15" s="363" t="s">
        <v>299</v>
      </c>
      <c r="B15" s="364" t="s">
        <v>300</v>
      </c>
      <c r="C15" s="80"/>
      <c r="D15" s="80"/>
      <c r="E15" s="361" t="s">
        <v>301</v>
      </c>
      <c r="F15" s="370" t="s">
        <v>302</v>
      </c>
      <c r="G15" s="87">
        <v>343</v>
      </c>
      <c r="H15" s="87">
        <v>446</v>
      </c>
    </row>
    <row r="16" spans="1:8" ht="12">
      <c r="A16" s="363" t="s">
        <v>303</v>
      </c>
      <c r="B16" s="364" t="s">
        <v>304</v>
      </c>
      <c r="C16" s="80">
        <v>1900</v>
      </c>
      <c r="D16" s="80">
        <v>3044</v>
      </c>
      <c r="E16" s="363" t="s">
        <v>305</v>
      </c>
      <c r="F16" s="369" t="s">
        <v>306</v>
      </c>
      <c r="G16" s="89"/>
      <c r="H16" s="89"/>
    </row>
    <row r="17" spans="1:8" ht="12">
      <c r="A17" s="371" t="s">
        <v>307</v>
      </c>
      <c r="B17" s="364" t="s">
        <v>308</v>
      </c>
      <c r="C17" s="81"/>
      <c r="D17" s="81"/>
      <c r="E17" s="361"/>
      <c r="F17" s="360"/>
      <c r="G17" s="390"/>
      <c r="H17" s="390"/>
    </row>
    <row r="18" spans="1:8" ht="12">
      <c r="A18" s="371" t="s">
        <v>309</v>
      </c>
      <c r="B18" s="364" t="s">
        <v>310</v>
      </c>
      <c r="C18" s="81"/>
      <c r="D18" s="81"/>
      <c r="E18" s="361" t="s">
        <v>311</v>
      </c>
      <c r="F18" s="360"/>
      <c r="G18" s="390"/>
      <c r="H18" s="390"/>
    </row>
    <row r="19" spans="1:15" ht="12">
      <c r="A19" s="367" t="s">
        <v>50</v>
      </c>
      <c r="B19" s="372" t="s">
        <v>312</v>
      </c>
      <c r="C19" s="82">
        <f>SUM(C9:C15)+C16</f>
        <v>74650</v>
      </c>
      <c r="D19" s="82">
        <f>SUM(D9:D15)+D16</f>
        <v>70180</v>
      </c>
      <c r="E19" s="373" t="s">
        <v>313</v>
      </c>
      <c r="F19" s="369" t="s">
        <v>314</v>
      </c>
      <c r="G19" s="87">
        <v>238</v>
      </c>
      <c r="H19" s="87">
        <v>346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315</v>
      </c>
      <c r="F20" s="369" t="s">
        <v>316</v>
      </c>
      <c r="G20" s="87">
        <v>974</v>
      </c>
      <c r="H20" s="87">
        <v>1211</v>
      </c>
    </row>
    <row r="21" spans="1:8" ht="36">
      <c r="A21" s="361" t="s">
        <v>317</v>
      </c>
      <c r="B21" s="375"/>
      <c r="C21" s="389"/>
      <c r="D21" s="389"/>
      <c r="E21" s="363" t="s">
        <v>318</v>
      </c>
      <c r="F21" s="369" t="s">
        <v>319</v>
      </c>
      <c r="G21" s="87">
        <v>22</v>
      </c>
      <c r="H21" s="87">
        <v>22</v>
      </c>
    </row>
    <row r="22" spans="1:8" ht="24">
      <c r="A22" s="360" t="s">
        <v>320</v>
      </c>
      <c r="B22" s="375" t="s">
        <v>321</v>
      </c>
      <c r="C22" s="79">
        <v>8583</v>
      </c>
      <c r="D22" s="79">
        <v>7432</v>
      </c>
      <c r="E22" s="373" t="s">
        <v>322</v>
      </c>
      <c r="F22" s="369" t="s">
        <v>323</v>
      </c>
      <c r="G22" s="87">
        <v>1015</v>
      </c>
      <c r="H22" s="87">
        <v>1201</v>
      </c>
    </row>
    <row r="23" spans="1:8" ht="24">
      <c r="A23" s="363" t="s">
        <v>324</v>
      </c>
      <c r="B23" s="375" t="s">
        <v>325</v>
      </c>
      <c r="C23" s="79"/>
      <c r="D23" s="79">
        <v>1</v>
      </c>
      <c r="E23" s="363" t="s">
        <v>326</v>
      </c>
      <c r="F23" s="369" t="s">
        <v>327</v>
      </c>
      <c r="G23" s="87"/>
      <c r="H23" s="87"/>
    </row>
    <row r="24" spans="1:18" ht="24">
      <c r="A24" s="363" t="s">
        <v>328</v>
      </c>
      <c r="B24" s="375" t="s">
        <v>329</v>
      </c>
      <c r="C24" s="79">
        <v>65</v>
      </c>
      <c r="D24" s="79">
        <v>275</v>
      </c>
      <c r="E24" s="367" t="s">
        <v>102</v>
      </c>
      <c r="F24" s="370" t="s">
        <v>330</v>
      </c>
      <c r="G24" s="88">
        <f>SUM(G19:G23)</f>
        <v>2249</v>
      </c>
      <c r="H24" s="88">
        <f>SUM(H19:H23)</f>
        <v>2780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331</v>
      </c>
      <c r="C25" s="79">
        <v>203</v>
      </c>
      <c r="D25" s="79"/>
      <c r="E25" s="374"/>
      <c r="F25" s="360"/>
      <c r="G25" s="390"/>
      <c r="H25" s="390"/>
    </row>
    <row r="26" spans="1:14" ht="12">
      <c r="A26" s="367" t="s">
        <v>75</v>
      </c>
      <c r="B26" s="376" t="s">
        <v>332</v>
      </c>
      <c r="C26" s="82">
        <f>SUM(C22:C25)</f>
        <v>8851</v>
      </c>
      <c r="D26" s="82">
        <f>SUM(D22:D25)</f>
        <v>7708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333</v>
      </c>
      <c r="B28" s="357" t="s">
        <v>334</v>
      </c>
      <c r="C28" s="83">
        <f>C26+C19</f>
        <v>83501</v>
      </c>
      <c r="D28" s="83">
        <f>D26+D19</f>
        <v>77888</v>
      </c>
      <c r="E28" s="174" t="s">
        <v>335</v>
      </c>
      <c r="F28" s="370" t="s">
        <v>336</v>
      </c>
      <c r="G28" s="88">
        <f>G13+G15+G24</f>
        <v>98885</v>
      </c>
      <c r="H28" s="88">
        <f>H13+H15+H24</f>
        <v>97459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337</v>
      </c>
      <c r="B30" s="357" t="s">
        <v>338</v>
      </c>
      <c r="C30" s="83">
        <f>IF((G28-C28)&gt;0,G28-C28,0)</f>
        <v>15384</v>
      </c>
      <c r="D30" s="83">
        <f>IF((H28-D28)&gt;0,H28-D28,0)</f>
        <v>19571</v>
      </c>
      <c r="E30" s="174" t="s">
        <v>339</v>
      </c>
      <c r="F30" s="370" t="s">
        <v>340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36">
      <c r="A31" s="377" t="s">
        <v>848</v>
      </c>
      <c r="B31" s="376" t="s">
        <v>341</v>
      </c>
      <c r="C31" s="79"/>
      <c r="D31" s="79"/>
      <c r="E31" s="361" t="s">
        <v>851</v>
      </c>
      <c r="F31" s="369" t="s">
        <v>342</v>
      </c>
      <c r="G31" s="87"/>
      <c r="H31" s="87"/>
    </row>
    <row r="32" spans="1:8" ht="12">
      <c r="A32" s="361" t="s">
        <v>343</v>
      </c>
      <c r="B32" s="378" t="s">
        <v>344</v>
      </c>
      <c r="C32" s="79"/>
      <c r="D32" s="79"/>
      <c r="E32" s="361" t="s">
        <v>345</v>
      </c>
      <c r="F32" s="369" t="s">
        <v>346</v>
      </c>
      <c r="G32" s="87"/>
      <c r="H32" s="87"/>
    </row>
    <row r="33" spans="1:18" ht="12">
      <c r="A33" s="379" t="s">
        <v>347</v>
      </c>
      <c r="B33" s="376" t="s">
        <v>348</v>
      </c>
      <c r="C33" s="82">
        <f>C28+C31+C32</f>
        <v>83501</v>
      </c>
      <c r="D33" s="82">
        <f>D28+D31+D32</f>
        <v>77888</v>
      </c>
      <c r="E33" s="174" t="s">
        <v>349</v>
      </c>
      <c r="F33" s="370" t="s">
        <v>350</v>
      </c>
      <c r="G33" s="90">
        <f>G32+G31+G28</f>
        <v>98885</v>
      </c>
      <c r="H33" s="90">
        <f>H32+H31+H28</f>
        <v>97459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24">
      <c r="A34" s="379" t="s">
        <v>351</v>
      </c>
      <c r="B34" s="357" t="s">
        <v>352</v>
      </c>
      <c r="C34" s="83">
        <f>IF((G33-C33)&gt;0,G33-C33,0)</f>
        <v>15384</v>
      </c>
      <c r="D34" s="83">
        <f>IF((H33-D33)&gt;0,H33-D33,0)</f>
        <v>19571</v>
      </c>
      <c r="E34" s="379" t="s">
        <v>353</v>
      </c>
      <c r="F34" s="370" t="s">
        <v>354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355</v>
      </c>
      <c r="B35" s="376" t="s">
        <v>356</v>
      </c>
      <c r="C35" s="82">
        <f>C36+C37+C38</f>
        <v>1499</v>
      </c>
      <c r="D35" s="82">
        <f>D36+D37+D38</f>
        <v>1842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24">
      <c r="A36" s="381" t="s">
        <v>357</v>
      </c>
      <c r="B36" s="375" t="s">
        <v>358</v>
      </c>
      <c r="C36" s="79">
        <v>946</v>
      </c>
      <c r="D36" s="79">
        <v>1346</v>
      </c>
      <c r="E36" s="380"/>
      <c r="F36" s="360"/>
      <c r="G36" s="390"/>
      <c r="H36" s="390"/>
    </row>
    <row r="37" spans="1:8" ht="24">
      <c r="A37" s="381" t="s">
        <v>359</v>
      </c>
      <c r="B37" s="382" t="s">
        <v>360</v>
      </c>
      <c r="C37" s="537">
        <v>553</v>
      </c>
      <c r="D37" s="537">
        <v>496</v>
      </c>
      <c r="E37" s="380"/>
      <c r="F37" s="383"/>
      <c r="G37" s="390"/>
      <c r="H37" s="390"/>
    </row>
    <row r="38" spans="1:8" ht="12">
      <c r="A38" s="384" t="s">
        <v>361</v>
      </c>
      <c r="B38" s="382" t="s">
        <v>362</v>
      </c>
      <c r="C38" s="173"/>
      <c r="D38" s="173"/>
      <c r="E38" s="380"/>
      <c r="F38" s="383"/>
      <c r="G38" s="390"/>
      <c r="H38" s="390"/>
    </row>
    <row r="39" spans="1:18" ht="24">
      <c r="A39" s="385" t="s">
        <v>363</v>
      </c>
      <c r="B39" s="178" t="s">
        <v>364</v>
      </c>
      <c r="C39" s="569">
        <f>+IF((G33-C33-C35)&gt;0,G33-C33-C35,0)</f>
        <v>13885</v>
      </c>
      <c r="D39" s="569">
        <f>+IF((H33-D33-D35)&gt;0,H33-D33-D35,0)</f>
        <v>17729</v>
      </c>
      <c r="E39" s="386" t="s">
        <v>365</v>
      </c>
      <c r="F39" s="175" t="s">
        <v>366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24">
      <c r="A40" s="174" t="s">
        <v>367</v>
      </c>
      <c r="B40" s="359" t="s">
        <v>368</v>
      </c>
      <c r="C40" s="84"/>
      <c r="D40" s="84"/>
      <c r="E40" s="174" t="s">
        <v>367</v>
      </c>
      <c r="F40" s="175" t="s">
        <v>369</v>
      </c>
      <c r="G40" s="87"/>
      <c r="H40" s="87"/>
    </row>
    <row r="41" spans="1:18" ht="24">
      <c r="A41" s="174" t="s">
        <v>370</v>
      </c>
      <c r="B41" s="356" t="s">
        <v>371</v>
      </c>
      <c r="C41" s="85">
        <f>IF(G39=0,IF(C39-C40&gt;0,C39-C40+G40,0),IF(G39-G40&lt;0,G40-G39+C39,0))</f>
        <v>13885</v>
      </c>
      <c r="D41" s="85">
        <f>IF(H39=0,IF(D39-D40&gt;0,D39-D40+H40,0),IF(H39-H40&lt;0,H40-H39+D39,0))</f>
        <v>17729</v>
      </c>
      <c r="E41" s="174" t="s">
        <v>372</v>
      </c>
      <c r="F41" s="175" t="s">
        <v>373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374</v>
      </c>
      <c r="B42" s="356" t="s">
        <v>375</v>
      </c>
      <c r="C42" s="86">
        <f>C33+C35+C39</f>
        <v>98885</v>
      </c>
      <c r="D42" s="86">
        <f>D33+D35+D39</f>
        <v>97459</v>
      </c>
      <c r="E42" s="177" t="s">
        <v>376</v>
      </c>
      <c r="F42" s="178" t="s">
        <v>377</v>
      </c>
      <c r="G42" s="90">
        <f>G39+G33</f>
        <v>98885</v>
      </c>
      <c r="H42" s="90">
        <f>H39+H33</f>
        <v>97459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378</v>
      </c>
      <c r="B44" s="532"/>
      <c r="C44" s="532" t="s">
        <v>379</v>
      </c>
      <c r="D44" s="614"/>
      <c r="E44" s="614"/>
      <c r="F44" s="614"/>
      <c r="G44" s="614"/>
      <c r="H44" s="614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 t="s">
        <v>860</v>
      </c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15"/>
      <c r="E46" s="615"/>
      <c r="F46" s="615"/>
      <c r="G46" s="615"/>
      <c r="H46" s="615"/>
    </row>
    <row r="47" spans="1:8" ht="12">
      <c r="A47" s="29"/>
      <c r="B47" s="530"/>
      <c r="C47" s="531"/>
      <c r="D47" s="531" t="s">
        <v>859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C9:D14 G9:H12 G15:H16 G31:H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" right="0.16" top="0.43" bottom="0.16" header="0.38" footer="0.16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8">
      <selection activeCell="E53" sqref="E53"/>
    </sheetView>
  </sheetViews>
  <sheetFormatPr defaultColWidth="9.00390625" defaultRowHeight="12.75"/>
  <cols>
    <col min="1" max="1" width="61.50390625" style="183" customWidth="1"/>
    <col min="2" max="2" width="17.50390625" style="183" customWidth="1"/>
    <col min="3" max="3" width="17.875" style="422" customWidth="1"/>
    <col min="4" max="4" width="18.625" style="422" customWidth="1"/>
    <col min="5" max="5" width="10.125" style="183" customWidth="1"/>
    <col min="6" max="6" width="12.00390625" style="183" customWidth="1"/>
    <col min="7" max="16384" width="9.37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381</v>
      </c>
      <c r="B4" s="533" t="str">
        <f>'справка №1-БАЛАНС'!E3</f>
        <v>" АЛБЕНА"  АД</v>
      </c>
      <c r="C4" s="397" t="s">
        <v>2</v>
      </c>
      <c r="D4" s="353">
        <f>'справка №1-БАЛАНС'!H3</f>
        <v>834025872</v>
      </c>
      <c r="E4" s="401"/>
      <c r="F4" s="401"/>
      <c r="G4" s="182"/>
      <c r="H4" s="182"/>
      <c r="I4" s="182"/>
      <c r="J4" s="182"/>
    </row>
    <row r="5" spans="1:10" ht="15">
      <c r="A5" s="533" t="s">
        <v>888</v>
      </c>
      <c r="B5" s="533" t="str">
        <f>'справка №1-БАЛАНС'!E4</f>
        <v>неконсолидиран </v>
      </c>
      <c r="C5" s="398" t="s">
        <v>3</v>
      </c>
      <c r="D5" s="353">
        <f>'справка №1-БАЛАНС'!H4</f>
        <v>462</v>
      </c>
      <c r="E5" s="182"/>
      <c r="F5" s="182"/>
      <c r="G5" s="182"/>
      <c r="H5" s="182"/>
      <c r="I5" s="182"/>
      <c r="J5" s="182"/>
    </row>
    <row r="6" spans="1:10" ht="12">
      <c r="A6" s="6" t="s">
        <v>4</v>
      </c>
      <c r="B6" s="603">
        <v>39813</v>
      </c>
      <c r="C6" s="40"/>
      <c r="D6" s="399" t="s">
        <v>272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100533</v>
      </c>
      <c r="D10" s="92">
        <v>96828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-45743</v>
      </c>
      <c r="D11" s="92">
        <v>-45553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-14227</v>
      </c>
      <c r="D13" s="92">
        <v>-11392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24">
      <c r="A14" s="410" t="s">
        <v>392</v>
      </c>
      <c r="B14" s="411" t="s">
        <v>393</v>
      </c>
      <c r="C14" s="92">
        <v>1537</v>
      </c>
      <c r="D14" s="92">
        <v>3577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>
        <v>-1490</v>
      </c>
      <c r="D15" s="92">
        <v>-1032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>
        <v>51</v>
      </c>
      <c r="D16" s="92">
        <v>61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>
        <v>-147</v>
      </c>
      <c r="D17" s="92">
        <v>-107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>
        <v>110</v>
      </c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>
        <v>93</v>
      </c>
      <c r="D19" s="92">
        <v>-392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40717</v>
      </c>
      <c r="D20" s="93">
        <f>SUM(D10:D19)</f>
        <v>41990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>
        <v>-53319</v>
      </c>
      <c r="D22" s="92">
        <v>-49381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/>
      <c r="D23" s="92">
        <v>100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>
        <v>-1573</v>
      </c>
      <c r="D24" s="92">
        <v>-2118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24">
      <c r="A25" s="410" t="s">
        <v>413</v>
      </c>
      <c r="B25" s="411" t="s">
        <v>414</v>
      </c>
      <c r="C25" s="92">
        <v>2011</v>
      </c>
      <c r="D25" s="92">
        <v>59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>
        <v>154</v>
      </c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>
        <v>-985</v>
      </c>
      <c r="D27" s="92">
        <v>-4731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>
        <v>513</v>
      </c>
      <c r="D29" s="92">
        <v>695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/>
      <c r="D31" s="92">
        <v>4</v>
      </c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-53199</v>
      </c>
      <c r="D32" s="93">
        <f>SUM(D22:D31)</f>
        <v>-55372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>
        <v>36327</v>
      </c>
      <c r="D36" s="92">
        <v>32996</v>
      </c>
      <c r="E36" s="181"/>
      <c r="F36" s="181"/>
      <c r="G36" s="182"/>
    </row>
    <row r="37" spans="1:7" ht="12">
      <c r="A37" s="410" t="s">
        <v>435</v>
      </c>
      <c r="B37" s="411" t="s">
        <v>436</v>
      </c>
      <c r="C37" s="92">
        <v>-14548</v>
      </c>
      <c r="D37" s="92">
        <v>-9448</v>
      </c>
      <c r="E37" s="181"/>
      <c r="F37" s="181"/>
      <c r="G37" s="182"/>
    </row>
    <row r="38" spans="1:7" ht="12">
      <c r="A38" s="410" t="s">
        <v>437</v>
      </c>
      <c r="B38" s="411" t="s">
        <v>438</v>
      </c>
      <c r="C38" s="92"/>
      <c r="D38" s="92"/>
      <c r="E38" s="181"/>
      <c r="F38" s="181"/>
      <c r="G38" s="182"/>
    </row>
    <row r="39" spans="1:7" ht="24">
      <c r="A39" s="410" t="s">
        <v>439</v>
      </c>
      <c r="B39" s="411" t="s">
        <v>440</v>
      </c>
      <c r="C39" s="92">
        <v>-9154</v>
      </c>
      <c r="D39" s="92">
        <v>-6458</v>
      </c>
      <c r="E39" s="181"/>
      <c r="F39" s="181"/>
      <c r="G39" s="182"/>
    </row>
    <row r="40" spans="1:7" ht="12">
      <c r="A40" s="410" t="s">
        <v>441</v>
      </c>
      <c r="B40" s="411" t="s">
        <v>442</v>
      </c>
      <c r="C40" s="92">
        <v>-1038</v>
      </c>
      <c r="D40" s="92">
        <v>-2827</v>
      </c>
      <c r="E40" s="181"/>
      <c r="F40" s="181"/>
      <c r="G40" s="182"/>
    </row>
    <row r="41" spans="1:8" ht="12">
      <c r="A41" s="410" t="s">
        <v>443</v>
      </c>
      <c r="B41" s="411" t="s">
        <v>444</v>
      </c>
      <c r="C41" s="92"/>
      <c r="D41" s="92"/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11587</v>
      </c>
      <c r="D42" s="93">
        <f>SUM(D34:D41)</f>
        <v>14263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-895</v>
      </c>
      <c r="D43" s="93">
        <f>D42+D32+D20</f>
        <v>881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1398</v>
      </c>
      <c r="D44" s="184">
        <v>517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503</v>
      </c>
      <c r="D45" s="93">
        <f>D44+D43</f>
        <v>1398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>
        <v>455</v>
      </c>
      <c r="D46" s="94">
        <v>842</v>
      </c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>
        <v>48</v>
      </c>
      <c r="D47" s="94">
        <v>556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893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379</v>
      </c>
      <c r="C50" s="617"/>
      <c r="D50" s="617"/>
      <c r="G50" s="186"/>
      <c r="H50" s="186"/>
    </row>
    <row r="51" spans="1:8" ht="24">
      <c r="A51" s="546"/>
      <c r="B51" s="546" t="s">
        <v>862</v>
      </c>
      <c r="C51" s="542"/>
      <c r="D51" s="542"/>
      <c r="G51" s="186"/>
      <c r="H51" s="186"/>
    </row>
    <row r="52" spans="1:8" ht="12">
      <c r="A52" s="546"/>
      <c r="B52" s="544" t="s">
        <v>779</v>
      </c>
      <c r="C52" s="617"/>
      <c r="D52" s="617"/>
      <c r="G52" s="186"/>
      <c r="H52" s="186"/>
    </row>
    <row r="53" spans="1:8" ht="24">
      <c r="A53" s="546"/>
      <c r="B53" s="546" t="s">
        <v>863</v>
      </c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5" right="0.7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tabSelected="1" workbookViewId="0" topLeftCell="A1">
      <selection activeCell="A36" sqref="A36"/>
    </sheetView>
  </sheetViews>
  <sheetFormatPr defaultColWidth="9.00390625" defaultRowHeight="12.75"/>
  <cols>
    <col min="1" max="1" width="48.50390625" style="25" customWidth="1"/>
    <col min="2" max="2" width="8.375" style="38" customWidth="1"/>
    <col min="3" max="3" width="9.125" style="20" customWidth="1"/>
    <col min="4" max="4" width="9.375" style="20" customWidth="1"/>
    <col min="5" max="5" width="8.625" style="20" customWidth="1"/>
    <col min="6" max="6" width="7.50390625" style="20" customWidth="1"/>
    <col min="7" max="7" width="9.625" style="20" customWidth="1"/>
    <col min="8" max="8" width="7.50390625" style="20" customWidth="1"/>
    <col min="9" max="9" width="8.37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375" style="20" customWidth="1"/>
  </cols>
  <sheetData>
    <row r="1" spans="1:14" s="5" customFormat="1" ht="24" customHeight="1">
      <c r="A1" s="618" t="s">
        <v>457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20" t="str">
        <f>'справка №1-БАЛАНС'!E3</f>
        <v>" АЛБЕНА"  АД</v>
      </c>
      <c r="D3" s="621"/>
      <c r="E3" s="621"/>
      <c r="F3" s="621"/>
      <c r="G3" s="621"/>
      <c r="H3" s="573"/>
      <c r="I3" s="573"/>
      <c r="J3" s="2"/>
      <c r="K3" s="572" t="s">
        <v>2</v>
      </c>
      <c r="L3" s="572"/>
      <c r="M3" s="591">
        <f>'справка №1-БАЛАНС'!H3</f>
        <v>834025872</v>
      </c>
      <c r="N3" s="3"/>
    </row>
    <row r="4" spans="1:15" s="5" customFormat="1" ht="13.5" customHeight="1">
      <c r="A4" s="6" t="s">
        <v>458</v>
      </c>
      <c r="B4" s="573"/>
      <c r="C4" s="620" t="str">
        <f>'справка №1-БАЛАНС'!E4</f>
        <v>неконсолидиран </v>
      </c>
      <c r="D4" s="620"/>
      <c r="E4" s="622"/>
      <c r="F4" s="620"/>
      <c r="G4" s="620"/>
      <c r="H4" s="533"/>
      <c r="I4" s="533"/>
      <c r="J4" s="593"/>
      <c r="K4" s="581" t="s">
        <v>3</v>
      </c>
      <c r="L4" s="581"/>
      <c r="M4" s="592">
        <f>'справка №1-БАЛАНС'!H4</f>
        <v>462</v>
      </c>
      <c r="N4" s="7"/>
      <c r="O4" s="8"/>
    </row>
    <row r="5" spans="1:14" s="5" customFormat="1" ht="12.75" customHeight="1">
      <c r="A5" s="6" t="s">
        <v>4</v>
      </c>
      <c r="B5" s="571"/>
      <c r="C5" s="623">
        <v>39813</v>
      </c>
      <c r="D5" s="621"/>
      <c r="E5" s="621"/>
      <c r="F5" s="621"/>
      <c r="G5" s="621"/>
      <c r="H5" s="573"/>
      <c r="I5" s="573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459</v>
      </c>
      <c r="E6" s="233"/>
      <c r="F6" s="233"/>
      <c r="G6" s="233"/>
      <c r="H6" s="233"/>
      <c r="I6" s="233" t="s">
        <v>460</v>
      </c>
      <c r="J6" s="254"/>
      <c r="K6" s="240"/>
      <c r="L6" s="231"/>
      <c r="M6" s="234"/>
      <c r="N6" s="189"/>
    </row>
    <row r="7" spans="1:14" s="15" customFormat="1" ht="60">
      <c r="A7" s="262" t="s">
        <v>461</v>
      </c>
      <c r="B7" s="266" t="s">
        <v>462</v>
      </c>
      <c r="C7" s="232" t="s">
        <v>463</v>
      </c>
      <c r="D7" s="263" t="s">
        <v>464</v>
      </c>
      <c r="E7" s="231" t="s">
        <v>465</v>
      </c>
      <c r="F7" s="13" t="s">
        <v>466</v>
      </c>
      <c r="G7" s="13"/>
      <c r="H7" s="13"/>
      <c r="I7" s="231" t="s">
        <v>467</v>
      </c>
      <c r="J7" s="255" t="s">
        <v>468</v>
      </c>
      <c r="K7" s="232" t="s">
        <v>469</v>
      </c>
      <c r="L7" s="232" t="s">
        <v>470</v>
      </c>
      <c r="M7" s="260" t="s">
        <v>471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472</v>
      </c>
      <c r="G8" s="12" t="s">
        <v>473</v>
      </c>
      <c r="H8" s="12" t="s">
        <v>474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475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6">
        <f>'справка №1-БАЛАНС'!H17</f>
        <v>2737</v>
      </c>
      <c r="D11" s="96">
        <f>'справка №1-БАЛАНС'!H19</f>
        <v>0</v>
      </c>
      <c r="E11" s="96">
        <f>'справка №1-БАЛАНС'!H20</f>
        <v>83004</v>
      </c>
      <c r="F11" s="96">
        <f>'справка №1-БАЛАНС'!H22</f>
        <v>427</v>
      </c>
      <c r="G11" s="96">
        <f>'справка №1-БАЛАНС'!H23</f>
        <v>0</v>
      </c>
      <c r="H11" s="98">
        <v>132562</v>
      </c>
      <c r="I11" s="96">
        <f>'справка №1-БАЛАНС'!H28+'справка №1-БАЛАНС'!H31</f>
        <v>57043</v>
      </c>
      <c r="J11" s="96">
        <f>'справка №1-БАЛАНС'!H29+'справка №1-БАЛАНС'!H32</f>
        <v>0</v>
      </c>
      <c r="K11" s="98"/>
      <c r="L11" s="424">
        <f>SUM(C11:K11)</f>
        <v>275773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479</v>
      </c>
      <c r="B12" s="34" t="s">
        <v>480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481</v>
      </c>
      <c r="B13" s="16" t="s">
        <v>482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483</v>
      </c>
      <c r="B14" s="16" t="s">
        <v>484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485</v>
      </c>
      <c r="B15" s="34" t="s">
        <v>486</v>
      </c>
      <c r="C15" s="99">
        <f>C11+C12</f>
        <v>2737</v>
      </c>
      <c r="D15" s="99">
        <f aca="true" t="shared" si="2" ref="D15:M15">D11+D12</f>
        <v>0</v>
      </c>
      <c r="E15" s="99">
        <f t="shared" si="2"/>
        <v>83004</v>
      </c>
      <c r="F15" s="99">
        <f t="shared" si="2"/>
        <v>427</v>
      </c>
      <c r="G15" s="99">
        <f t="shared" si="2"/>
        <v>0</v>
      </c>
      <c r="H15" s="99">
        <f t="shared" si="2"/>
        <v>132562</v>
      </c>
      <c r="I15" s="99">
        <f t="shared" si="2"/>
        <v>57043</v>
      </c>
      <c r="J15" s="99">
        <f t="shared" si="2"/>
        <v>0</v>
      </c>
      <c r="K15" s="99">
        <f t="shared" si="2"/>
        <v>0</v>
      </c>
      <c r="L15" s="424">
        <f t="shared" si="1"/>
        <v>275773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487</v>
      </c>
      <c r="B16" s="41" t="s">
        <v>488</v>
      </c>
      <c r="C16" s="236"/>
      <c r="D16" s="237"/>
      <c r="E16" s="237"/>
      <c r="F16" s="237"/>
      <c r="G16" s="237"/>
      <c r="H16" s="238"/>
      <c r="I16" s="252">
        <f>+'справка №1-БАЛАНС'!G31</f>
        <v>13885</v>
      </c>
      <c r="J16" s="425">
        <f>+'справка №1-БАЛАНС'!G32</f>
        <v>0</v>
      </c>
      <c r="K16" s="98"/>
      <c r="L16" s="424">
        <f t="shared" si="1"/>
        <v>13885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489</v>
      </c>
      <c r="B17" s="16" t="s">
        <v>490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15479</v>
      </c>
      <c r="I17" s="100">
        <f t="shared" si="3"/>
        <v>-17729</v>
      </c>
      <c r="J17" s="100">
        <f>J18+J19</f>
        <v>0</v>
      </c>
      <c r="K17" s="100">
        <f t="shared" si="3"/>
        <v>0</v>
      </c>
      <c r="L17" s="424">
        <f t="shared" si="1"/>
        <v>-2250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491</v>
      </c>
      <c r="B18" s="36" t="s">
        <v>492</v>
      </c>
      <c r="C18" s="98"/>
      <c r="D18" s="98"/>
      <c r="E18" s="98"/>
      <c r="F18" s="98"/>
      <c r="G18" s="98"/>
      <c r="H18" s="98"/>
      <c r="I18" s="98">
        <v>-2073</v>
      </c>
      <c r="J18" s="98"/>
      <c r="K18" s="98"/>
      <c r="L18" s="424">
        <f t="shared" si="1"/>
        <v>-2073</v>
      </c>
      <c r="M18" s="98"/>
      <c r="N18" s="19"/>
    </row>
    <row r="19" spans="1:14" ht="12" customHeight="1">
      <c r="A19" s="22" t="s">
        <v>493</v>
      </c>
      <c r="B19" s="36" t="s">
        <v>494</v>
      </c>
      <c r="C19" s="98"/>
      <c r="D19" s="98"/>
      <c r="E19" s="98"/>
      <c r="F19" s="98"/>
      <c r="G19" s="98"/>
      <c r="H19" s="98">
        <v>15479</v>
      </c>
      <c r="I19" s="98">
        <v>-15656</v>
      </c>
      <c r="J19" s="98"/>
      <c r="K19" s="98"/>
      <c r="L19" s="424">
        <f t="shared" si="1"/>
        <v>-177</v>
      </c>
      <c r="M19" s="98"/>
      <c r="N19" s="19"/>
    </row>
    <row r="20" spans="1:14" ht="12.75" customHeight="1">
      <c r="A20" s="21" t="s">
        <v>495</v>
      </c>
      <c r="B20" s="16" t="s">
        <v>496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497</v>
      </c>
      <c r="B21" s="16" t="s">
        <v>498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499</v>
      </c>
      <c r="B22" s="16" t="s">
        <v>500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501</v>
      </c>
      <c r="B23" s="16" t="s">
        <v>502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503</v>
      </c>
      <c r="B24" s="16" t="s">
        <v>504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499</v>
      </c>
      <c r="B25" s="16" t="s">
        <v>505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501</v>
      </c>
      <c r="B26" s="16" t="s">
        <v>506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507</v>
      </c>
      <c r="B27" s="16" t="s">
        <v>508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509</v>
      </c>
      <c r="B28" s="16" t="s">
        <v>510</v>
      </c>
      <c r="C28" s="98"/>
      <c r="D28" s="98"/>
      <c r="E28" s="98">
        <v>-1644</v>
      </c>
      <c r="F28" s="98"/>
      <c r="G28" s="98"/>
      <c r="H28" s="98"/>
      <c r="I28" s="98">
        <v>1644</v>
      </c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511</v>
      </c>
      <c r="B29" s="34" t="s">
        <v>512</v>
      </c>
      <c r="C29" s="97">
        <f>C17+C20+C21+C24+C28+C27+C15+C16</f>
        <v>2737</v>
      </c>
      <c r="D29" s="97">
        <f aca="true" t="shared" si="6" ref="D29:M29">D17+D20+D21+D24+D28+D27+D15+D16</f>
        <v>0</v>
      </c>
      <c r="E29" s="97">
        <f t="shared" si="6"/>
        <v>81360</v>
      </c>
      <c r="F29" s="97">
        <f t="shared" si="6"/>
        <v>427</v>
      </c>
      <c r="G29" s="97">
        <f t="shared" si="6"/>
        <v>0</v>
      </c>
      <c r="H29" s="97">
        <f t="shared" si="6"/>
        <v>148041</v>
      </c>
      <c r="I29" s="97">
        <f t="shared" si="6"/>
        <v>54843</v>
      </c>
      <c r="J29" s="97">
        <f t="shared" si="6"/>
        <v>0</v>
      </c>
      <c r="K29" s="97">
        <f t="shared" si="6"/>
        <v>0</v>
      </c>
      <c r="L29" s="424">
        <f t="shared" si="1"/>
        <v>287408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513</v>
      </c>
      <c r="B30" s="16" t="s">
        <v>514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515</v>
      </c>
      <c r="B31" s="16" t="s">
        <v>516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517</v>
      </c>
      <c r="B32" s="34" t="s">
        <v>518</v>
      </c>
      <c r="C32" s="97">
        <f aca="true" t="shared" si="7" ref="C32:K32">C29+C30+C31</f>
        <v>2737</v>
      </c>
      <c r="D32" s="97">
        <f t="shared" si="7"/>
        <v>0</v>
      </c>
      <c r="E32" s="97">
        <f t="shared" si="7"/>
        <v>81360</v>
      </c>
      <c r="F32" s="97">
        <f t="shared" si="7"/>
        <v>427</v>
      </c>
      <c r="G32" s="97">
        <f t="shared" si="7"/>
        <v>0</v>
      </c>
      <c r="H32" s="97">
        <f t="shared" si="7"/>
        <v>148041</v>
      </c>
      <c r="I32" s="97">
        <f t="shared" si="7"/>
        <v>54843</v>
      </c>
      <c r="J32" s="97">
        <f t="shared" si="7"/>
        <v>0</v>
      </c>
      <c r="K32" s="97">
        <f t="shared" si="7"/>
        <v>0</v>
      </c>
      <c r="L32" s="424">
        <f t="shared" si="1"/>
        <v>287408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1" t="s">
        <v>892</v>
      </c>
      <c r="B35" s="37"/>
      <c r="C35" s="24"/>
      <c r="D35" s="619" t="s">
        <v>519</v>
      </c>
      <c r="E35" s="619"/>
      <c r="F35" s="619"/>
      <c r="G35" s="619"/>
      <c r="H35" s="619"/>
      <c r="I35" s="619"/>
      <c r="J35" s="24" t="s">
        <v>853</v>
      </c>
      <c r="K35" s="24"/>
      <c r="L35" s="619"/>
      <c r="M35" s="619"/>
      <c r="N35" s="19"/>
    </row>
    <row r="36" spans="1:13" ht="12">
      <c r="A36" s="430"/>
      <c r="B36" s="431"/>
      <c r="C36" s="432"/>
      <c r="D36" s="432"/>
      <c r="E36" s="432" t="s">
        <v>860</v>
      </c>
      <c r="F36" s="432"/>
      <c r="G36" s="432"/>
      <c r="H36" s="432"/>
      <c r="I36" s="432"/>
      <c r="J36" s="432"/>
      <c r="K36" s="432" t="s">
        <v>859</v>
      </c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5" sqref="B45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375" style="43" customWidth="1"/>
    <col min="4" max="6" width="9.5039062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50390625" style="43" customWidth="1"/>
    <col min="11" max="11" width="9.375" style="43" customWidth="1"/>
    <col min="12" max="12" width="10.625" style="43" customWidth="1"/>
    <col min="13" max="13" width="9.625" style="43" customWidth="1"/>
    <col min="14" max="14" width="8.50390625" style="43" customWidth="1"/>
    <col min="15" max="15" width="12.50390625" style="43" customWidth="1"/>
    <col min="16" max="16" width="11.125" style="43" customWidth="1"/>
    <col min="17" max="17" width="13.125" style="43" customWidth="1"/>
    <col min="18" max="18" width="11.375" style="43" customWidth="1"/>
    <col min="19" max="16384" width="10.625" style="43" customWidth="1"/>
  </cols>
  <sheetData>
    <row r="1" spans="1:18" ht="12">
      <c r="A1" s="434"/>
      <c r="B1" s="435" t="s">
        <v>520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9" t="s">
        <v>381</v>
      </c>
      <c r="B2" s="634"/>
      <c r="C2" s="584"/>
      <c r="D2" s="584"/>
      <c r="E2" s="620" t="str">
        <f>'справка №1-БАЛАНС'!E3</f>
        <v>" АЛБЕНА"  АД</v>
      </c>
      <c r="F2" s="610"/>
      <c r="G2" s="610"/>
      <c r="H2" s="584"/>
      <c r="I2" s="441"/>
      <c r="J2" s="441"/>
      <c r="K2" s="441"/>
      <c r="L2" s="441"/>
      <c r="M2" s="605" t="s">
        <v>2</v>
      </c>
      <c r="N2" s="633"/>
      <c r="O2" s="633"/>
      <c r="P2" s="606">
        <f>'справка №1-БАЛАНС'!H3</f>
        <v>834025872</v>
      </c>
      <c r="Q2" s="606"/>
      <c r="R2" s="353"/>
    </row>
    <row r="3" spans="1:18" ht="15">
      <c r="A3" s="609" t="s">
        <v>4</v>
      </c>
      <c r="B3" s="634"/>
      <c r="C3" s="585"/>
      <c r="D3" s="585"/>
      <c r="E3" s="623">
        <v>39813</v>
      </c>
      <c r="F3" s="611"/>
      <c r="G3" s="611"/>
      <c r="H3" s="443"/>
      <c r="I3" s="443"/>
      <c r="J3" s="443"/>
      <c r="K3" s="443"/>
      <c r="L3" s="443"/>
      <c r="M3" s="607" t="s">
        <v>3</v>
      </c>
      <c r="N3" s="607"/>
      <c r="O3" s="576"/>
      <c r="P3" s="608">
        <f>'справка №1-БАЛАНС'!H4</f>
        <v>462</v>
      </c>
      <c r="Q3" s="608"/>
      <c r="R3" s="354"/>
    </row>
    <row r="4" spans="1:18" ht="12.75">
      <c r="A4" s="436" t="s">
        <v>521</v>
      </c>
      <c r="B4" s="442"/>
      <c r="C4" s="442"/>
      <c r="D4" s="443"/>
      <c r="E4" s="624"/>
      <c r="F4" s="625"/>
      <c r="G4" s="625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522</v>
      </c>
    </row>
    <row r="5" spans="1:18" s="44" customFormat="1" ht="30.75" customHeight="1">
      <c r="A5" s="626" t="s">
        <v>461</v>
      </c>
      <c r="B5" s="627"/>
      <c r="C5" s="630" t="s">
        <v>7</v>
      </c>
      <c r="D5" s="449" t="s">
        <v>523</v>
      </c>
      <c r="E5" s="449"/>
      <c r="F5" s="449"/>
      <c r="G5" s="449"/>
      <c r="H5" s="449" t="s">
        <v>524</v>
      </c>
      <c r="I5" s="449"/>
      <c r="J5" s="635" t="s">
        <v>525</v>
      </c>
      <c r="K5" s="449" t="s">
        <v>526</v>
      </c>
      <c r="L5" s="449"/>
      <c r="M5" s="449"/>
      <c r="N5" s="449"/>
      <c r="O5" s="449" t="s">
        <v>524</v>
      </c>
      <c r="P5" s="449"/>
      <c r="Q5" s="635" t="s">
        <v>527</v>
      </c>
      <c r="R5" s="635" t="s">
        <v>528</v>
      </c>
    </row>
    <row r="6" spans="1:18" s="44" customFormat="1" ht="60">
      <c r="A6" s="628"/>
      <c r="B6" s="629"/>
      <c r="C6" s="631"/>
      <c r="D6" s="450" t="s">
        <v>529</v>
      </c>
      <c r="E6" s="450" t="s">
        <v>530</v>
      </c>
      <c r="F6" s="450" t="s">
        <v>531</v>
      </c>
      <c r="G6" s="450" t="s">
        <v>532</v>
      </c>
      <c r="H6" s="450" t="s">
        <v>533</v>
      </c>
      <c r="I6" s="450" t="s">
        <v>534</v>
      </c>
      <c r="J6" s="636"/>
      <c r="K6" s="450" t="s">
        <v>529</v>
      </c>
      <c r="L6" s="450" t="s">
        <v>535</v>
      </c>
      <c r="M6" s="450" t="s">
        <v>536</v>
      </c>
      <c r="N6" s="450" t="s">
        <v>537</v>
      </c>
      <c r="O6" s="450" t="s">
        <v>533</v>
      </c>
      <c r="P6" s="450" t="s">
        <v>534</v>
      </c>
      <c r="Q6" s="636"/>
      <c r="R6" s="636"/>
    </row>
    <row r="7" spans="1:18" s="44" customFormat="1" ht="12">
      <c r="A7" s="452" t="s">
        <v>538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539</v>
      </c>
      <c r="B8" s="455" t="s">
        <v>540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541</v>
      </c>
      <c r="B9" s="458" t="s">
        <v>542</v>
      </c>
      <c r="C9" s="459" t="s">
        <v>543</v>
      </c>
      <c r="D9" s="243">
        <v>46820</v>
      </c>
      <c r="E9" s="243">
        <v>2949</v>
      </c>
      <c r="F9" s="243"/>
      <c r="G9" s="113">
        <f>D9+E9-F9</f>
        <v>49769</v>
      </c>
      <c r="H9" s="103"/>
      <c r="I9" s="103"/>
      <c r="J9" s="113">
        <f>G9+H9-I9</f>
        <v>49769</v>
      </c>
      <c r="K9" s="103">
        <v>0</v>
      </c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49769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544</v>
      </c>
      <c r="B10" s="458" t="s">
        <v>545</v>
      </c>
      <c r="C10" s="459" t="s">
        <v>546</v>
      </c>
      <c r="D10" s="243">
        <v>272108</v>
      </c>
      <c r="E10" s="243">
        <v>33525</v>
      </c>
      <c r="F10" s="243">
        <v>4833</v>
      </c>
      <c r="G10" s="113">
        <f aca="true" t="shared" si="2" ref="G10:G39">D10+E10-F10</f>
        <v>300800</v>
      </c>
      <c r="H10" s="103"/>
      <c r="I10" s="103"/>
      <c r="J10" s="113">
        <f aca="true" t="shared" si="3" ref="J10:J39">G10+H10-I10</f>
        <v>300800</v>
      </c>
      <c r="K10" s="103">
        <v>12421</v>
      </c>
      <c r="L10" s="103">
        <v>6103</v>
      </c>
      <c r="M10" s="103">
        <v>417</v>
      </c>
      <c r="N10" s="113">
        <f aca="true" t="shared" si="4" ref="N10:N39">K10+L10-M10</f>
        <v>18107</v>
      </c>
      <c r="O10" s="103"/>
      <c r="P10" s="103"/>
      <c r="Q10" s="113">
        <f t="shared" si="0"/>
        <v>18107</v>
      </c>
      <c r="R10" s="113">
        <f t="shared" si="1"/>
        <v>282693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547</v>
      </c>
      <c r="B11" s="458" t="s">
        <v>548</v>
      </c>
      <c r="C11" s="459" t="s">
        <v>549</v>
      </c>
      <c r="D11" s="243">
        <v>20453</v>
      </c>
      <c r="E11" s="243">
        <v>6051</v>
      </c>
      <c r="F11" s="243">
        <v>302</v>
      </c>
      <c r="G11" s="113">
        <f t="shared" si="2"/>
        <v>26202</v>
      </c>
      <c r="H11" s="103"/>
      <c r="I11" s="103"/>
      <c r="J11" s="113">
        <f t="shared" si="3"/>
        <v>26202</v>
      </c>
      <c r="K11" s="103">
        <v>13242</v>
      </c>
      <c r="L11" s="103">
        <v>2561</v>
      </c>
      <c r="M11" s="103">
        <v>297</v>
      </c>
      <c r="N11" s="113">
        <f t="shared" si="4"/>
        <v>15506</v>
      </c>
      <c r="O11" s="103"/>
      <c r="P11" s="103"/>
      <c r="Q11" s="113">
        <f t="shared" si="0"/>
        <v>15506</v>
      </c>
      <c r="R11" s="113">
        <f t="shared" si="1"/>
        <v>10696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550</v>
      </c>
      <c r="B12" s="458" t="s">
        <v>551</v>
      </c>
      <c r="C12" s="459" t="s">
        <v>552</v>
      </c>
      <c r="D12" s="243">
        <v>48001</v>
      </c>
      <c r="E12" s="243">
        <v>4989</v>
      </c>
      <c r="F12" s="243">
        <v>12</v>
      </c>
      <c r="G12" s="113">
        <f t="shared" si="2"/>
        <v>52978</v>
      </c>
      <c r="H12" s="103"/>
      <c r="I12" s="103"/>
      <c r="J12" s="113">
        <f t="shared" si="3"/>
        <v>52978</v>
      </c>
      <c r="K12" s="103">
        <v>16782</v>
      </c>
      <c r="L12" s="103">
        <v>2313</v>
      </c>
      <c r="M12" s="103">
        <v>1</v>
      </c>
      <c r="N12" s="113">
        <f t="shared" si="4"/>
        <v>19094</v>
      </c>
      <c r="O12" s="103"/>
      <c r="P12" s="103"/>
      <c r="Q12" s="113">
        <f t="shared" si="0"/>
        <v>19094</v>
      </c>
      <c r="R12" s="113">
        <f t="shared" si="1"/>
        <v>33884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553</v>
      </c>
      <c r="B13" s="458" t="s">
        <v>554</v>
      </c>
      <c r="C13" s="459" t="s">
        <v>555</v>
      </c>
      <c r="D13" s="243">
        <v>2561</v>
      </c>
      <c r="E13" s="243">
        <v>122</v>
      </c>
      <c r="F13" s="243"/>
      <c r="G13" s="113">
        <f t="shared" si="2"/>
        <v>2683</v>
      </c>
      <c r="H13" s="103"/>
      <c r="I13" s="103"/>
      <c r="J13" s="113">
        <f t="shared" si="3"/>
        <v>2683</v>
      </c>
      <c r="K13" s="103">
        <v>1548</v>
      </c>
      <c r="L13" s="103">
        <v>223</v>
      </c>
      <c r="M13" s="103"/>
      <c r="N13" s="113">
        <f t="shared" si="4"/>
        <v>1771</v>
      </c>
      <c r="O13" s="103"/>
      <c r="P13" s="103"/>
      <c r="Q13" s="113">
        <f t="shared" si="0"/>
        <v>1771</v>
      </c>
      <c r="R13" s="113">
        <f t="shared" si="1"/>
        <v>912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556</v>
      </c>
      <c r="B14" s="458" t="s">
        <v>557</v>
      </c>
      <c r="C14" s="459" t="s">
        <v>558</v>
      </c>
      <c r="D14" s="243">
        <v>21239</v>
      </c>
      <c r="E14" s="243">
        <v>7065</v>
      </c>
      <c r="F14" s="243">
        <v>298</v>
      </c>
      <c r="G14" s="113">
        <f t="shared" si="2"/>
        <v>28006</v>
      </c>
      <c r="H14" s="103"/>
      <c r="I14" s="103"/>
      <c r="J14" s="113">
        <f t="shared" si="3"/>
        <v>28006</v>
      </c>
      <c r="K14" s="103">
        <v>14698</v>
      </c>
      <c r="L14" s="103">
        <v>2450</v>
      </c>
      <c r="M14" s="103">
        <v>292</v>
      </c>
      <c r="N14" s="113">
        <f t="shared" si="4"/>
        <v>16856</v>
      </c>
      <c r="O14" s="103"/>
      <c r="P14" s="103"/>
      <c r="Q14" s="113">
        <f t="shared" si="0"/>
        <v>16856</v>
      </c>
      <c r="R14" s="113">
        <f t="shared" si="1"/>
        <v>11150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36">
      <c r="A15" s="562" t="s">
        <v>854</v>
      </c>
      <c r="B15" s="466" t="s">
        <v>855</v>
      </c>
      <c r="C15" s="563" t="s">
        <v>856</v>
      </c>
      <c r="D15" s="564">
        <v>11525</v>
      </c>
      <c r="E15" s="564">
        <v>45870</v>
      </c>
      <c r="F15" s="564">
        <v>53711</v>
      </c>
      <c r="G15" s="113">
        <f t="shared" si="2"/>
        <v>3684</v>
      </c>
      <c r="H15" s="565"/>
      <c r="I15" s="565"/>
      <c r="J15" s="113">
        <f t="shared" si="3"/>
        <v>3684</v>
      </c>
      <c r="K15" s="565"/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3684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8" t="s">
        <v>559</v>
      </c>
      <c r="B16" s="247" t="s">
        <v>560</v>
      </c>
      <c r="C16" s="459" t="s">
        <v>561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562</v>
      </c>
      <c r="C17" s="461" t="s">
        <v>563</v>
      </c>
      <c r="D17" s="248">
        <f>SUM(D9:D16)</f>
        <v>422707</v>
      </c>
      <c r="E17" s="248">
        <f>SUM(E9:E16)</f>
        <v>100571</v>
      </c>
      <c r="F17" s="248">
        <f>SUM(F9:F16)</f>
        <v>59156</v>
      </c>
      <c r="G17" s="113">
        <f t="shared" si="2"/>
        <v>464122</v>
      </c>
      <c r="H17" s="114">
        <f>SUM(H9:H16)</f>
        <v>0</v>
      </c>
      <c r="I17" s="114">
        <f>SUM(I9:I16)</f>
        <v>0</v>
      </c>
      <c r="J17" s="113">
        <f t="shared" si="3"/>
        <v>464122</v>
      </c>
      <c r="K17" s="114">
        <f>SUM(K9:K16)</f>
        <v>58691</v>
      </c>
      <c r="L17" s="114">
        <f>SUM(L9:L16)</f>
        <v>13650</v>
      </c>
      <c r="M17" s="114">
        <f>SUM(M9:M16)</f>
        <v>1007</v>
      </c>
      <c r="N17" s="113">
        <f t="shared" si="4"/>
        <v>71334</v>
      </c>
      <c r="O17" s="114">
        <f>SUM(O9:O16)</f>
        <v>0</v>
      </c>
      <c r="P17" s="114">
        <f>SUM(P9:P16)</f>
        <v>0</v>
      </c>
      <c r="Q17" s="113">
        <f t="shared" si="5"/>
        <v>71334</v>
      </c>
      <c r="R17" s="113">
        <f t="shared" si="6"/>
        <v>392788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564</v>
      </c>
      <c r="B18" s="463" t="s">
        <v>565</v>
      </c>
      <c r="C18" s="461" t="s">
        <v>566</v>
      </c>
      <c r="D18" s="241">
        <v>11072</v>
      </c>
      <c r="E18" s="241">
        <v>6960</v>
      </c>
      <c r="F18" s="241">
        <v>1084</v>
      </c>
      <c r="G18" s="113">
        <f t="shared" si="2"/>
        <v>16948</v>
      </c>
      <c r="H18" s="101">
        <v>535</v>
      </c>
      <c r="I18" s="101">
        <v>230</v>
      </c>
      <c r="J18" s="113">
        <f t="shared" si="3"/>
        <v>17253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17253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567</v>
      </c>
      <c r="B19" s="463" t="s">
        <v>568</v>
      </c>
      <c r="C19" s="461" t="s">
        <v>569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570</v>
      </c>
      <c r="B20" s="455" t="s">
        <v>571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541</v>
      </c>
      <c r="B21" s="458" t="s">
        <v>572</v>
      </c>
      <c r="C21" s="459" t="s">
        <v>573</v>
      </c>
      <c r="D21" s="243">
        <v>141</v>
      </c>
      <c r="E21" s="243"/>
      <c r="F21" s="243"/>
      <c r="G21" s="113">
        <f t="shared" si="2"/>
        <v>141</v>
      </c>
      <c r="H21" s="103"/>
      <c r="I21" s="103"/>
      <c r="J21" s="113">
        <f t="shared" si="3"/>
        <v>141</v>
      </c>
      <c r="K21" s="103">
        <v>141</v>
      </c>
      <c r="L21" s="103"/>
      <c r="M21" s="103"/>
      <c r="N21" s="113">
        <f t="shared" si="4"/>
        <v>141</v>
      </c>
      <c r="O21" s="103"/>
      <c r="P21" s="103"/>
      <c r="Q21" s="113">
        <f t="shared" si="5"/>
        <v>141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544</v>
      </c>
      <c r="B22" s="458" t="s">
        <v>574</v>
      </c>
      <c r="C22" s="459" t="s">
        <v>575</v>
      </c>
      <c r="D22" s="243">
        <v>2460</v>
      </c>
      <c r="E22" s="243">
        <v>38</v>
      </c>
      <c r="F22" s="243">
        <v>611</v>
      </c>
      <c r="G22" s="113">
        <f t="shared" si="2"/>
        <v>1887</v>
      </c>
      <c r="H22" s="103"/>
      <c r="I22" s="103"/>
      <c r="J22" s="113">
        <f t="shared" si="3"/>
        <v>1887</v>
      </c>
      <c r="K22" s="103">
        <v>1290</v>
      </c>
      <c r="L22" s="103">
        <v>260</v>
      </c>
      <c r="M22" s="103">
        <v>611</v>
      </c>
      <c r="N22" s="113">
        <f t="shared" si="4"/>
        <v>939</v>
      </c>
      <c r="O22" s="103"/>
      <c r="P22" s="103"/>
      <c r="Q22" s="113">
        <f t="shared" si="5"/>
        <v>939</v>
      </c>
      <c r="R22" s="113">
        <f t="shared" si="6"/>
        <v>948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547</v>
      </c>
      <c r="B23" s="466" t="s">
        <v>576</v>
      </c>
      <c r="C23" s="459" t="s">
        <v>577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550</v>
      </c>
      <c r="B24" s="467" t="s">
        <v>560</v>
      </c>
      <c r="C24" s="459" t="s">
        <v>578</v>
      </c>
      <c r="D24" s="243">
        <v>908</v>
      </c>
      <c r="E24" s="243">
        <v>154</v>
      </c>
      <c r="F24" s="243">
        <v>196</v>
      </c>
      <c r="G24" s="113">
        <f t="shared" si="2"/>
        <v>866</v>
      </c>
      <c r="H24" s="103"/>
      <c r="I24" s="103"/>
      <c r="J24" s="113">
        <f t="shared" si="3"/>
        <v>866</v>
      </c>
      <c r="K24" s="103">
        <v>424</v>
      </c>
      <c r="L24" s="103">
        <v>140</v>
      </c>
      <c r="M24" s="103">
        <v>196</v>
      </c>
      <c r="N24" s="113">
        <f t="shared" si="4"/>
        <v>368</v>
      </c>
      <c r="O24" s="103"/>
      <c r="P24" s="103"/>
      <c r="Q24" s="113">
        <f t="shared" si="5"/>
        <v>368</v>
      </c>
      <c r="R24" s="113">
        <f t="shared" si="6"/>
        <v>498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580</v>
      </c>
      <c r="D25" s="244">
        <f>SUM(D21:D24)</f>
        <v>3509</v>
      </c>
      <c r="E25" s="244">
        <f aca="true" t="shared" si="7" ref="E25:P25">SUM(E21:E24)</f>
        <v>192</v>
      </c>
      <c r="F25" s="244">
        <f t="shared" si="7"/>
        <v>807</v>
      </c>
      <c r="G25" s="105">
        <f t="shared" si="2"/>
        <v>2894</v>
      </c>
      <c r="H25" s="104">
        <f t="shared" si="7"/>
        <v>0</v>
      </c>
      <c r="I25" s="104">
        <f t="shared" si="7"/>
        <v>0</v>
      </c>
      <c r="J25" s="105">
        <f t="shared" si="3"/>
        <v>2894</v>
      </c>
      <c r="K25" s="104">
        <f t="shared" si="7"/>
        <v>1855</v>
      </c>
      <c r="L25" s="104">
        <f t="shared" si="7"/>
        <v>400</v>
      </c>
      <c r="M25" s="104">
        <f t="shared" si="7"/>
        <v>807</v>
      </c>
      <c r="N25" s="105">
        <f t="shared" si="4"/>
        <v>1448</v>
      </c>
      <c r="O25" s="104">
        <f t="shared" si="7"/>
        <v>0</v>
      </c>
      <c r="P25" s="104">
        <f t="shared" si="7"/>
        <v>0</v>
      </c>
      <c r="Q25" s="105">
        <f t="shared" si="5"/>
        <v>1448</v>
      </c>
      <c r="R25" s="105">
        <f t="shared" si="6"/>
        <v>1446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581</v>
      </c>
      <c r="B26" s="469" t="s">
        <v>582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541</v>
      </c>
      <c r="B27" s="471" t="s">
        <v>849</v>
      </c>
      <c r="C27" s="472" t="s">
        <v>583</v>
      </c>
      <c r="D27" s="246">
        <f>SUM(D28:D31)</f>
        <v>26549</v>
      </c>
      <c r="E27" s="246">
        <f aca="true" t="shared" si="8" ref="E27:P27">SUM(E28:E31)</f>
        <v>993</v>
      </c>
      <c r="F27" s="246">
        <f t="shared" si="8"/>
        <v>0</v>
      </c>
      <c r="G27" s="110">
        <f t="shared" si="2"/>
        <v>27542</v>
      </c>
      <c r="H27" s="109">
        <f t="shared" si="8"/>
        <v>0</v>
      </c>
      <c r="I27" s="109">
        <f t="shared" si="8"/>
        <v>0</v>
      </c>
      <c r="J27" s="110">
        <f t="shared" si="3"/>
        <v>27542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27542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584</v>
      </c>
      <c r="D28" s="243">
        <v>26509</v>
      </c>
      <c r="E28" s="243">
        <v>993</v>
      </c>
      <c r="F28" s="243"/>
      <c r="G28" s="113">
        <f t="shared" si="2"/>
        <v>27502</v>
      </c>
      <c r="H28" s="103"/>
      <c r="I28" s="103"/>
      <c r="J28" s="113">
        <f t="shared" si="3"/>
        <v>27502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27502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585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586</v>
      </c>
      <c r="D30" s="243">
        <v>24</v>
      </c>
      <c r="E30" s="243"/>
      <c r="F30" s="243"/>
      <c r="G30" s="113">
        <f t="shared" si="2"/>
        <v>24</v>
      </c>
      <c r="H30" s="111"/>
      <c r="I30" s="111"/>
      <c r="J30" s="113">
        <f t="shared" si="3"/>
        <v>24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24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587</v>
      </c>
      <c r="D31" s="243">
        <v>16</v>
      </c>
      <c r="E31" s="243"/>
      <c r="F31" s="243"/>
      <c r="G31" s="113">
        <f t="shared" si="2"/>
        <v>16</v>
      </c>
      <c r="H31" s="111"/>
      <c r="I31" s="111"/>
      <c r="J31" s="113">
        <f t="shared" si="3"/>
        <v>16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16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24">
      <c r="A32" s="458" t="s">
        <v>544</v>
      </c>
      <c r="B32" s="471" t="s">
        <v>588</v>
      </c>
      <c r="C32" s="459" t="s">
        <v>589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590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591</v>
      </c>
      <c r="C34" s="459" t="s">
        <v>592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593</v>
      </c>
      <c r="C35" s="459" t="s">
        <v>594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595</v>
      </c>
      <c r="C36" s="459" t="s">
        <v>596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547</v>
      </c>
      <c r="B37" s="473" t="s">
        <v>560</v>
      </c>
      <c r="C37" s="459" t="s">
        <v>597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850</v>
      </c>
      <c r="C38" s="461" t="s">
        <v>599</v>
      </c>
      <c r="D38" s="248">
        <f>D27+D32+D37</f>
        <v>26549</v>
      </c>
      <c r="E38" s="248">
        <f aca="true" t="shared" si="12" ref="E38:P38">E27+E32+E37</f>
        <v>993</v>
      </c>
      <c r="F38" s="248">
        <f t="shared" si="12"/>
        <v>0</v>
      </c>
      <c r="G38" s="113">
        <f t="shared" si="2"/>
        <v>27542</v>
      </c>
      <c r="H38" s="114">
        <f t="shared" si="12"/>
        <v>0</v>
      </c>
      <c r="I38" s="114">
        <f t="shared" si="12"/>
        <v>0</v>
      </c>
      <c r="J38" s="113">
        <f t="shared" si="3"/>
        <v>27542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27542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600</v>
      </c>
      <c r="B39" s="462" t="s">
        <v>601</v>
      </c>
      <c r="C39" s="461" t="s">
        <v>602</v>
      </c>
      <c r="D39" s="596"/>
      <c r="E39" s="596"/>
      <c r="F39" s="596"/>
      <c r="G39" s="113">
        <f t="shared" si="2"/>
        <v>0</v>
      </c>
      <c r="H39" s="596"/>
      <c r="I39" s="596"/>
      <c r="J39" s="113">
        <f t="shared" si="3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603</v>
      </c>
      <c r="C40" s="451" t="s">
        <v>604</v>
      </c>
      <c r="D40" s="547">
        <f>D17+D18+D19+D25+D38+D39</f>
        <v>463837</v>
      </c>
      <c r="E40" s="547">
        <f>E17+E18+E19+E25+E38+E39</f>
        <v>108716</v>
      </c>
      <c r="F40" s="547">
        <f aca="true" t="shared" si="13" ref="F40:R40">F17+F18+F19+F25+F38+F39</f>
        <v>61047</v>
      </c>
      <c r="G40" s="547">
        <f t="shared" si="13"/>
        <v>511506</v>
      </c>
      <c r="H40" s="547">
        <f t="shared" si="13"/>
        <v>535</v>
      </c>
      <c r="I40" s="547">
        <f t="shared" si="13"/>
        <v>230</v>
      </c>
      <c r="J40" s="547">
        <f t="shared" si="13"/>
        <v>511811</v>
      </c>
      <c r="K40" s="547">
        <f t="shared" si="13"/>
        <v>60546</v>
      </c>
      <c r="L40" s="547">
        <f t="shared" si="13"/>
        <v>14050</v>
      </c>
      <c r="M40" s="547">
        <f t="shared" si="13"/>
        <v>1814</v>
      </c>
      <c r="N40" s="547">
        <f t="shared" si="13"/>
        <v>72782</v>
      </c>
      <c r="O40" s="547">
        <f t="shared" si="13"/>
        <v>0</v>
      </c>
      <c r="P40" s="547">
        <f t="shared" si="13"/>
        <v>0</v>
      </c>
      <c r="Q40" s="547">
        <f t="shared" si="13"/>
        <v>72782</v>
      </c>
      <c r="R40" s="547">
        <f t="shared" si="13"/>
        <v>439029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605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891</v>
      </c>
      <c r="C44" s="445"/>
      <c r="D44" s="446"/>
      <c r="E44" s="446"/>
      <c r="F44" s="446"/>
      <c r="G44" s="436"/>
      <c r="H44" s="447" t="s">
        <v>606</v>
      </c>
      <c r="I44" s="447"/>
      <c r="J44" s="447"/>
      <c r="K44" s="632"/>
      <c r="L44" s="632"/>
      <c r="M44" s="632"/>
      <c r="N44" s="632"/>
      <c r="O44" s="633" t="s">
        <v>779</v>
      </c>
      <c r="P44" s="634"/>
      <c r="Q44" s="634"/>
      <c r="R44" s="634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 t="s">
        <v>860</v>
      </c>
      <c r="J45" s="437"/>
      <c r="K45" s="437"/>
      <c r="L45" s="437"/>
      <c r="M45" s="437"/>
      <c r="N45" s="437"/>
      <c r="O45" s="437" t="s">
        <v>864</v>
      </c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A110" sqref="A110"/>
    </sheetView>
  </sheetViews>
  <sheetFormatPr defaultColWidth="9.00390625" defaultRowHeight="12.75"/>
  <cols>
    <col min="1" max="1" width="47.375" style="43" customWidth="1"/>
    <col min="2" max="2" width="11.875" style="47" customWidth="1"/>
    <col min="3" max="3" width="13.50390625" style="43" customWidth="1"/>
    <col min="4" max="4" width="12.50390625" style="43" customWidth="1"/>
    <col min="5" max="5" width="13.125" style="43" customWidth="1"/>
    <col min="6" max="6" width="14.875" style="43" customWidth="1"/>
    <col min="7" max="26" width="10.625" style="43" hidden="1" customWidth="1"/>
    <col min="27" max="16384" width="10.625" style="43" customWidth="1"/>
  </cols>
  <sheetData>
    <row r="1" spans="1:15" ht="24" customHeight="1">
      <c r="A1" s="640" t="s">
        <v>607</v>
      </c>
      <c r="B1" s="640"/>
      <c r="C1" s="640"/>
      <c r="D1" s="640"/>
      <c r="E1" s="640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1" t="str">
        <f>"Име на отчитащото се предприятие:"&amp;"           "&amp;'справка №1-БАЛАНС'!E3</f>
        <v>Име на отчитащото се предприятие:           " АЛБЕНА"  АД</v>
      </c>
      <c r="B3" s="641"/>
      <c r="C3" s="353" t="s">
        <v>2</v>
      </c>
      <c r="E3" s="353">
        <f>'справка №1-БАЛАНС'!H3</f>
        <v>834025872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2" t="str">
        <f>"Отчетен период:"&amp;"           "&amp;'справка №1-БАЛАНС'!E5</f>
        <v>Отчетен период:           39813</v>
      </c>
      <c r="B4" s="642"/>
      <c r="C4" s="354" t="s">
        <v>3</v>
      </c>
      <c r="D4" s="354"/>
      <c r="E4" s="353">
        <f>'справка №1-БАЛАНС'!H4</f>
        <v>462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461</v>
      </c>
      <c r="B6" s="482" t="s">
        <v>7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44</v>
      </c>
      <c r="D11" s="165">
        <f>SUM(D12:D14)</f>
        <v>0</v>
      </c>
      <c r="E11" s="166">
        <f>SUM(E12:E14)</f>
        <v>44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>
        <v>44</v>
      </c>
      <c r="D12" s="153"/>
      <c r="E12" s="166">
        <f aca="true" t="shared" si="0" ref="E12:E42">C12-D12</f>
        <v>44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>
        <v>104</v>
      </c>
      <c r="D15" s="153"/>
      <c r="E15" s="166">
        <f t="shared" si="0"/>
        <v>104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148</v>
      </c>
      <c r="D19" s="149">
        <f>D11+D15+D16</f>
        <v>0</v>
      </c>
      <c r="E19" s="164">
        <f>E11+E15+E16</f>
        <v>148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6282</v>
      </c>
      <c r="D24" s="165">
        <f>SUM(D25:D27)</f>
        <v>6282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>
        <v>5135</v>
      </c>
      <c r="D25" s="153">
        <v>5135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v>716</v>
      </c>
      <c r="D26" s="153">
        <v>716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431</v>
      </c>
      <c r="D27" s="153">
        <v>431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3596</v>
      </c>
      <c r="D28" s="153">
        <v>3596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452</v>
      </c>
      <c r="D29" s="153">
        <v>452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>
        <v>118</v>
      </c>
      <c r="D31" s="153">
        <v>118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536</v>
      </c>
      <c r="D33" s="150">
        <f>SUM(D34:D37)</f>
        <v>536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>
        <v>536</v>
      </c>
      <c r="D34" s="153">
        <v>536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726</v>
      </c>
      <c r="D38" s="150">
        <f>SUM(D39:D42)</f>
        <v>726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726</v>
      </c>
      <c r="D42" s="153">
        <v>726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11710</v>
      </c>
      <c r="D43" s="149">
        <f>D24+D28+D29+D31+D30+D32+D33+D38</f>
        <v>11710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11858</v>
      </c>
      <c r="D44" s="148">
        <f>D43+D21+D19+D9</f>
        <v>11710</v>
      </c>
      <c r="E44" s="164">
        <f>E43+E21+E19+E9</f>
        <v>148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36">
      <c r="A48" s="481" t="s">
        <v>461</v>
      </c>
      <c r="B48" s="482" t="s">
        <v>7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7570</v>
      </c>
      <c r="D52" s="148">
        <f>SUM(D53:D55)</f>
        <v>0</v>
      </c>
      <c r="E52" s="165">
        <f>C52-D52</f>
        <v>7570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>
        <v>7570</v>
      </c>
      <c r="D53" s="153"/>
      <c r="E53" s="165">
        <f>C53-D53</f>
        <v>7570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112959</v>
      </c>
      <c r="D56" s="148">
        <f>D57+D59</f>
        <v>0</v>
      </c>
      <c r="E56" s="165">
        <f t="shared" si="1"/>
        <v>112959</v>
      </c>
      <c r="F56" s="148">
        <f>F57+F59</f>
        <v>127304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112959</v>
      </c>
      <c r="D57" s="153"/>
      <c r="E57" s="165">
        <f t="shared" si="1"/>
        <v>112959</v>
      </c>
      <c r="F57" s="153">
        <v>127304</v>
      </c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120529</v>
      </c>
      <c r="D66" s="148">
        <f>D52+D56+D61+D62+D63+D64</f>
        <v>0</v>
      </c>
      <c r="E66" s="165">
        <f t="shared" si="1"/>
        <v>120529</v>
      </c>
      <c r="F66" s="148">
        <f>F52+F56+F61+F62+F63+F64</f>
        <v>127304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13624</v>
      </c>
      <c r="D68" s="153"/>
      <c r="E68" s="165">
        <f t="shared" si="1"/>
        <v>13624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1745</v>
      </c>
      <c r="D71" s="150">
        <f>SUM(D72:D74)</f>
        <v>1745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1010</v>
      </c>
      <c r="D72" s="153">
        <v>1010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>
        <v>700</v>
      </c>
      <c r="D73" s="153">
        <v>700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35</v>
      </c>
      <c r="D74" s="153">
        <v>35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14516</v>
      </c>
      <c r="D80" s="148">
        <f>SUM(D81:D84)</f>
        <v>14516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>
        <v>13749</v>
      </c>
      <c r="D83" s="153">
        <v>13749</v>
      </c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>
        <v>767</v>
      </c>
      <c r="D84" s="153">
        <v>767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12431</v>
      </c>
      <c r="D85" s="149">
        <f>SUM(D86:D90)+D94</f>
        <v>12431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10113</v>
      </c>
      <c r="D87" s="153">
        <v>10113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1951</v>
      </c>
      <c r="D88" s="153">
        <v>1951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212</v>
      </c>
      <c r="D89" s="153">
        <v>212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62</v>
      </c>
      <c r="D90" s="148">
        <f>SUM(D91:D93)</f>
        <v>62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62</v>
      </c>
      <c r="D93" s="153">
        <v>62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93</v>
      </c>
      <c r="D94" s="153">
        <v>93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847</v>
      </c>
      <c r="D95" s="153">
        <v>847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29539</v>
      </c>
      <c r="D96" s="149">
        <f>D85+D80+D75+D71+D95</f>
        <v>29539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163692</v>
      </c>
      <c r="D97" s="149">
        <f>D96+D68+D66</f>
        <v>29539</v>
      </c>
      <c r="E97" s="149">
        <f>E96+E68+E66</f>
        <v>134153</v>
      </c>
      <c r="F97" s="149">
        <f>F96+F68+F66</f>
        <v>127304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522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461</v>
      </c>
      <c r="B100" s="487" t="s">
        <v>462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9" t="s">
        <v>778</v>
      </c>
      <c r="B107" s="639"/>
      <c r="C107" s="639"/>
      <c r="D107" s="639"/>
      <c r="E107" s="639"/>
      <c r="F107" s="639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8" t="s">
        <v>889</v>
      </c>
      <c r="B109" s="638"/>
      <c r="C109" s="638" t="s">
        <v>379</v>
      </c>
      <c r="D109" s="638"/>
      <c r="E109" s="638"/>
      <c r="F109" s="638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 t="s">
        <v>860</v>
      </c>
      <c r="E110" s="477"/>
      <c r="F110" s="479"/>
    </row>
    <row r="111" spans="1:6" ht="12">
      <c r="A111" s="477"/>
      <c r="B111" s="478"/>
      <c r="C111" s="637" t="s">
        <v>779</v>
      </c>
      <c r="D111" s="637"/>
      <c r="E111" s="637"/>
      <c r="F111" s="637"/>
    </row>
    <row r="112" spans="1:6" ht="12">
      <c r="A112" s="434"/>
      <c r="B112" s="480"/>
      <c r="C112" s="434"/>
      <c r="D112" s="434" t="s">
        <v>859</v>
      </c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9:D42 C34:D37 C102:E104 C53:D55 F53:F55 C57:D65 F57:F65 C68:D68 F68 C72:D74 F72:F74 C76:D79 F76:F79 C81:D84 F81:F84 C86:D89 F86:F89 C91:D95 F91:F95 C25:D32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625" style="106" customWidth="1"/>
    <col min="2" max="2" width="9.125" style="140" customWidth="1"/>
    <col min="3" max="3" width="12.875" style="106" customWidth="1"/>
    <col min="4" max="4" width="12.625" style="106" customWidth="1"/>
    <col min="5" max="5" width="12.875" style="106" customWidth="1"/>
    <col min="6" max="6" width="11.50390625" style="106" customWidth="1"/>
    <col min="7" max="7" width="12.50390625" style="106" customWidth="1"/>
    <col min="8" max="8" width="14.125" style="106" customWidth="1"/>
    <col min="9" max="9" width="14.00390625" style="106" customWidth="1"/>
    <col min="10" max="16384" width="10.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7"/>
      <c r="C4" s="620" t="str">
        <f>'справка №1-БАЛАНС'!E3</f>
        <v>" АЛБЕНА"  АД</v>
      </c>
      <c r="D4" s="611"/>
      <c r="E4" s="611"/>
      <c r="F4" s="577"/>
      <c r="G4" s="579" t="s">
        <v>2</v>
      </c>
      <c r="H4" s="579"/>
      <c r="I4" s="588">
        <f>'справка №1-БАЛАНС'!H3</f>
        <v>834025872</v>
      </c>
    </row>
    <row r="5" spans="1:9" ht="15">
      <c r="A5" s="522" t="s">
        <v>4</v>
      </c>
      <c r="B5" s="578"/>
      <c r="C5" s="620">
        <f>'справка №1-БАЛАНС'!E5</f>
        <v>39813</v>
      </c>
      <c r="D5" s="645"/>
      <c r="E5" s="645"/>
      <c r="F5" s="578"/>
      <c r="G5" s="354" t="s">
        <v>3</v>
      </c>
      <c r="H5" s="580"/>
      <c r="I5" s="587">
        <f>'справка №1-БАЛАНС'!H4</f>
        <v>462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461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533</v>
      </c>
      <c r="H9" s="121" t="s">
        <v>534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205">
        <v>10325104</v>
      </c>
      <c r="D12" s="141"/>
      <c r="E12" s="141"/>
      <c r="F12" s="141">
        <v>27502</v>
      </c>
      <c r="G12" s="141"/>
      <c r="H12" s="141"/>
      <c r="I12" s="541">
        <f>F12+G12-H12</f>
        <v>27502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593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562</v>
      </c>
      <c r="B17" s="134" t="s">
        <v>800</v>
      </c>
      <c r="C17" s="127">
        <f aca="true" t="shared" si="1" ref="C17:H17">C12+C13+C15+C16</f>
        <v>10325104</v>
      </c>
      <c r="D17" s="127">
        <f t="shared" si="1"/>
        <v>0</v>
      </c>
      <c r="E17" s="127">
        <f t="shared" si="1"/>
        <v>0</v>
      </c>
      <c r="F17" s="127">
        <f t="shared" si="1"/>
        <v>27502</v>
      </c>
      <c r="G17" s="127">
        <f t="shared" si="1"/>
        <v>0</v>
      </c>
      <c r="H17" s="127">
        <f t="shared" si="1"/>
        <v>0</v>
      </c>
      <c r="I17" s="541">
        <f t="shared" si="0"/>
        <v>27502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>
        <v>128000</v>
      </c>
      <c r="D20" s="141"/>
      <c r="E20" s="141"/>
      <c r="F20" s="141">
        <v>1536</v>
      </c>
      <c r="G20" s="141"/>
      <c r="H20" s="141"/>
      <c r="I20" s="541">
        <f t="shared" si="0"/>
        <v>1536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8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579</v>
      </c>
      <c r="B26" s="134" t="s">
        <v>815</v>
      </c>
      <c r="C26" s="127">
        <f aca="true" t="shared" si="2" ref="C26:H26">SUM(C19:C25)</f>
        <v>128000</v>
      </c>
      <c r="D26" s="127">
        <f t="shared" si="2"/>
        <v>0</v>
      </c>
      <c r="E26" s="127">
        <f t="shared" si="2"/>
        <v>0</v>
      </c>
      <c r="F26" s="127">
        <f t="shared" si="2"/>
        <v>1536</v>
      </c>
      <c r="G26" s="127">
        <f t="shared" si="2"/>
        <v>0</v>
      </c>
      <c r="H26" s="127">
        <f t="shared" si="2"/>
        <v>0</v>
      </c>
      <c r="I26" s="541">
        <f t="shared" si="0"/>
        <v>1536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24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890</v>
      </c>
      <c r="B30" s="644"/>
      <c r="C30" s="644"/>
      <c r="D30" s="567" t="s">
        <v>379</v>
      </c>
      <c r="E30" s="643"/>
      <c r="F30" s="643"/>
      <c r="G30" s="643"/>
      <c r="H30" s="519" t="s">
        <v>779</v>
      </c>
      <c r="I30" s="643"/>
      <c r="J30" s="643"/>
    </row>
    <row r="31" spans="1:9" s="115" customFormat="1" ht="12">
      <c r="A31" s="437"/>
      <c r="B31" s="520"/>
      <c r="C31" s="437"/>
      <c r="D31" s="510"/>
      <c r="E31" s="510" t="s">
        <v>860</v>
      </c>
      <c r="F31" s="510"/>
      <c r="G31" s="510"/>
      <c r="H31" s="510"/>
      <c r="I31" s="510" t="s">
        <v>859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9"/>
  <sheetViews>
    <sheetView workbookViewId="0" topLeftCell="A1">
      <selection activeCell="A150" sqref="A150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625" style="51" customWidth="1"/>
    <col min="4" max="4" width="20.125" style="51" customWidth="1"/>
    <col min="5" max="5" width="23.625" style="51" customWidth="1"/>
    <col min="6" max="6" width="19.625" style="51" customWidth="1"/>
    <col min="7" max="16384" width="10.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20" t="str">
        <f>'справка №1-БАЛАНС'!E3</f>
        <v>" АЛБЕНА"  АД</v>
      </c>
      <c r="C5" s="610"/>
      <c r="D5" s="586"/>
      <c r="E5" s="353" t="s">
        <v>2</v>
      </c>
      <c r="F5" s="589">
        <f>'справка №1-БАЛАНС'!H3</f>
        <v>834025872</v>
      </c>
    </row>
    <row r="6" spans="1:13" ht="15" customHeight="1">
      <c r="A6" s="54" t="s">
        <v>820</v>
      </c>
      <c r="B6" s="620">
        <f>'справка №1-БАЛАНС'!E5</f>
        <v>39813</v>
      </c>
      <c r="C6" s="645"/>
      <c r="D6" s="55"/>
      <c r="E6" s="354" t="s">
        <v>3</v>
      </c>
      <c r="F6" s="590">
        <f>'справка №1-БАЛАНС'!H4</f>
        <v>462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4"/>
      <c r="C7" s="647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63.75">
      <c r="A8" s="59" t="s">
        <v>821</v>
      </c>
      <c r="B8" s="60" t="s">
        <v>7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4.25" customHeight="1">
      <c r="A11" s="66" t="s">
        <v>827</v>
      </c>
      <c r="B11" s="67"/>
      <c r="C11" s="549"/>
      <c r="D11" s="549"/>
      <c r="E11" s="549"/>
      <c r="F11" s="551">
        <f>C11-E11</f>
        <v>0</v>
      </c>
    </row>
    <row r="12" spans="1:6" ht="12.75">
      <c r="A12" s="66" t="s">
        <v>865</v>
      </c>
      <c r="B12" s="67"/>
      <c r="C12" s="549">
        <f>1305170/1000</f>
        <v>1305.17</v>
      </c>
      <c r="D12" s="598">
        <v>67</v>
      </c>
      <c r="E12" s="549"/>
      <c r="F12" s="551">
        <f aca="true" t="shared" si="0" ref="F12:F23">C12-E12</f>
        <v>1305.17</v>
      </c>
    </row>
    <row r="13" spans="1:6" ht="12.75">
      <c r="A13" s="66" t="s">
        <v>866</v>
      </c>
      <c r="B13" s="67"/>
      <c r="C13" s="549">
        <v>2961</v>
      </c>
      <c r="D13" s="598">
        <v>94</v>
      </c>
      <c r="E13" s="549"/>
      <c r="F13" s="551">
        <f t="shared" si="0"/>
        <v>2961</v>
      </c>
    </row>
    <row r="14" spans="1:6" ht="12.75">
      <c r="A14" s="66" t="s">
        <v>867</v>
      </c>
      <c r="B14" s="67"/>
      <c r="C14" s="549">
        <f>900000/1000</f>
        <v>900</v>
      </c>
      <c r="D14" s="598">
        <v>100</v>
      </c>
      <c r="E14" s="549"/>
      <c r="F14" s="551">
        <f t="shared" si="0"/>
        <v>900</v>
      </c>
    </row>
    <row r="15" spans="1:6" ht="12.75">
      <c r="A15" s="66" t="s">
        <v>876</v>
      </c>
      <c r="B15" s="67"/>
      <c r="C15" s="549">
        <v>4300</v>
      </c>
      <c r="D15" s="598">
        <v>99.88</v>
      </c>
      <c r="E15" s="549"/>
      <c r="F15" s="551">
        <f t="shared" si="0"/>
        <v>4300</v>
      </c>
    </row>
    <row r="16" spans="1:6" ht="12.75">
      <c r="A16" s="66" t="s">
        <v>878</v>
      </c>
      <c r="B16" s="67"/>
      <c r="C16" s="549">
        <f>499078/1000</f>
        <v>499.078</v>
      </c>
      <c r="D16" s="598">
        <v>100</v>
      </c>
      <c r="E16" s="549"/>
      <c r="F16" s="551">
        <f t="shared" si="0"/>
        <v>499.078</v>
      </c>
    </row>
    <row r="17" spans="1:6" ht="12.75">
      <c r="A17" s="66" t="s">
        <v>879</v>
      </c>
      <c r="B17" s="67"/>
      <c r="C17" s="549">
        <f>198000/1000</f>
        <v>198</v>
      </c>
      <c r="D17" s="598">
        <v>99</v>
      </c>
      <c r="E17" s="549"/>
      <c r="F17" s="551">
        <f t="shared" si="0"/>
        <v>198</v>
      </c>
    </row>
    <row r="18" spans="1:6" ht="12.75">
      <c r="A18" s="66" t="s">
        <v>880</v>
      </c>
      <c r="B18" s="67"/>
      <c r="C18" s="549">
        <f>5000/1000</f>
        <v>5</v>
      </c>
      <c r="D18" s="598">
        <v>100</v>
      </c>
      <c r="E18" s="549"/>
      <c r="F18" s="551">
        <f t="shared" si="0"/>
        <v>5</v>
      </c>
    </row>
    <row r="19" spans="1:6" ht="12.75">
      <c r="A19" s="66" t="s">
        <v>881</v>
      </c>
      <c r="B19" s="67"/>
      <c r="C19" s="549">
        <v>4867</v>
      </c>
      <c r="D19" s="598">
        <v>60</v>
      </c>
      <c r="E19" s="549"/>
      <c r="F19" s="551">
        <f t="shared" si="0"/>
        <v>4867</v>
      </c>
    </row>
    <row r="20" spans="1:6" ht="12.75">
      <c r="A20" s="66" t="s">
        <v>882</v>
      </c>
      <c r="B20" s="67"/>
      <c r="C20" s="549">
        <v>1032</v>
      </c>
      <c r="D20" s="598">
        <v>100</v>
      </c>
      <c r="E20" s="549"/>
      <c r="F20" s="551">
        <f t="shared" si="0"/>
        <v>1032</v>
      </c>
    </row>
    <row r="21" spans="1:6" ht="12.75">
      <c r="A21" s="66" t="s">
        <v>883</v>
      </c>
      <c r="B21" s="70"/>
      <c r="C21" s="549">
        <v>6587</v>
      </c>
      <c r="D21" s="598">
        <v>47.83</v>
      </c>
      <c r="E21" s="599">
        <v>6587</v>
      </c>
      <c r="F21" s="600">
        <f>(C21-E21)</f>
        <v>0</v>
      </c>
    </row>
    <row r="22" spans="1:6" ht="12" customHeight="1">
      <c r="A22" s="66" t="s">
        <v>884</v>
      </c>
      <c r="B22" s="70"/>
      <c r="C22" s="549">
        <v>1064</v>
      </c>
      <c r="D22" s="598">
        <v>28.95</v>
      </c>
      <c r="E22" s="601"/>
      <c r="F22" s="600">
        <f>(C22-E22)</f>
        <v>1064</v>
      </c>
    </row>
    <row r="23" spans="1:6" ht="12.75">
      <c r="A23" s="66"/>
      <c r="B23" s="67"/>
      <c r="C23" s="549"/>
      <c r="D23" s="549"/>
      <c r="E23" s="549"/>
      <c r="F23" s="551">
        <f t="shared" si="0"/>
        <v>0</v>
      </c>
    </row>
    <row r="24" spans="1:16" ht="11.25" customHeight="1">
      <c r="A24" s="68" t="s">
        <v>562</v>
      </c>
      <c r="B24" s="69" t="s">
        <v>828</v>
      </c>
      <c r="C24" s="536">
        <f>SUM(C11:C23)</f>
        <v>23718.248</v>
      </c>
      <c r="D24" s="536"/>
      <c r="E24" s="604">
        <f>SUM(E11:E23)</f>
        <v>6587</v>
      </c>
      <c r="F24" s="550">
        <f>SUM(F11:F23)</f>
        <v>17131.248</v>
      </c>
      <c r="G24" s="526"/>
      <c r="H24" s="526"/>
      <c r="I24" s="526"/>
      <c r="J24" s="526"/>
      <c r="K24" s="526"/>
      <c r="L24" s="526"/>
      <c r="M24" s="526"/>
      <c r="N24" s="526"/>
      <c r="O24" s="526"/>
      <c r="P24" s="526"/>
    </row>
    <row r="25" spans="1:6" ht="16.5" customHeight="1">
      <c r="A25" s="66" t="s">
        <v>829</v>
      </c>
      <c r="B25" s="70"/>
      <c r="C25" s="536"/>
      <c r="D25" s="536"/>
      <c r="E25" s="536"/>
      <c r="F25" s="550"/>
    </row>
    <row r="26" spans="1:6" ht="12.75">
      <c r="A26" s="66" t="s">
        <v>868</v>
      </c>
      <c r="B26" s="70"/>
      <c r="C26" s="549">
        <v>24</v>
      </c>
      <c r="D26" s="598">
        <v>49</v>
      </c>
      <c r="E26" s="601"/>
      <c r="F26" s="600">
        <f>C26-E26</f>
        <v>24</v>
      </c>
    </row>
    <row r="27" spans="1:6" ht="12.75">
      <c r="A27" s="66" t="s">
        <v>550</v>
      </c>
      <c r="B27" s="70"/>
      <c r="C27" s="549"/>
      <c r="D27" s="549"/>
      <c r="E27" s="549"/>
      <c r="F27" s="551">
        <f aca="true" t="shared" si="1" ref="F27:F38">C27-E27</f>
        <v>0</v>
      </c>
    </row>
    <row r="28" spans="1:6" ht="12.75">
      <c r="A28" s="66">
        <v>5</v>
      </c>
      <c r="B28" s="67"/>
      <c r="C28" s="549"/>
      <c r="D28" s="549"/>
      <c r="E28" s="549"/>
      <c r="F28" s="551">
        <f t="shared" si="1"/>
        <v>0</v>
      </c>
    </row>
    <row r="29" spans="1:6" ht="12.75">
      <c r="A29" s="66">
        <v>6</v>
      </c>
      <c r="B29" s="67"/>
      <c r="C29" s="549"/>
      <c r="D29" s="549"/>
      <c r="E29" s="549"/>
      <c r="F29" s="551">
        <f t="shared" si="1"/>
        <v>0</v>
      </c>
    </row>
    <row r="30" spans="1:6" ht="12.75">
      <c r="A30" s="66">
        <v>7</v>
      </c>
      <c r="B30" s="67"/>
      <c r="C30" s="549"/>
      <c r="D30" s="549"/>
      <c r="E30" s="549"/>
      <c r="F30" s="551">
        <f t="shared" si="1"/>
        <v>0</v>
      </c>
    </row>
    <row r="31" spans="1:6" ht="12.75">
      <c r="A31" s="66">
        <v>8</v>
      </c>
      <c r="B31" s="67"/>
      <c r="C31" s="549"/>
      <c r="D31" s="549"/>
      <c r="E31" s="549"/>
      <c r="F31" s="551">
        <f t="shared" si="1"/>
        <v>0</v>
      </c>
    </row>
    <row r="32" spans="1:6" ht="12.75">
      <c r="A32" s="66">
        <v>9</v>
      </c>
      <c r="B32" s="67"/>
      <c r="C32" s="549"/>
      <c r="D32" s="549"/>
      <c r="E32" s="549"/>
      <c r="F32" s="551">
        <f t="shared" si="1"/>
        <v>0</v>
      </c>
    </row>
    <row r="33" spans="1:6" ht="12.75">
      <c r="A33" s="66">
        <v>10</v>
      </c>
      <c r="B33" s="67"/>
      <c r="C33" s="549"/>
      <c r="D33" s="549"/>
      <c r="E33" s="549"/>
      <c r="F33" s="551">
        <f t="shared" si="1"/>
        <v>0</v>
      </c>
    </row>
    <row r="34" spans="1:6" ht="12.75">
      <c r="A34" s="66">
        <v>11</v>
      </c>
      <c r="B34" s="67"/>
      <c r="C34" s="549"/>
      <c r="D34" s="549"/>
      <c r="E34" s="549"/>
      <c r="F34" s="551">
        <f t="shared" si="1"/>
        <v>0</v>
      </c>
    </row>
    <row r="35" spans="1:6" ht="12.75">
      <c r="A35" s="66">
        <v>12</v>
      </c>
      <c r="B35" s="67"/>
      <c r="C35" s="549"/>
      <c r="D35" s="549"/>
      <c r="E35" s="549"/>
      <c r="F35" s="551">
        <f t="shared" si="1"/>
        <v>0</v>
      </c>
    </row>
    <row r="36" spans="1:6" ht="12.75">
      <c r="A36" s="66">
        <v>13</v>
      </c>
      <c r="B36" s="67"/>
      <c r="C36" s="549"/>
      <c r="D36" s="549"/>
      <c r="E36" s="549"/>
      <c r="F36" s="551">
        <f t="shared" si="1"/>
        <v>0</v>
      </c>
    </row>
    <row r="37" spans="1:6" ht="12" customHeight="1">
      <c r="A37" s="66">
        <v>14</v>
      </c>
      <c r="B37" s="67"/>
      <c r="C37" s="549"/>
      <c r="D37" s="549"/>
      <c r="E37" s="549"/>
      <c r="F37" s="551">
        <f t="shared" si="1"/>
        <v>0</v>
      </c>
    </row>
    <row r="38" spans="1:6" ht="12.75">
      <c r="A38" s="66">
        <v>15</v>
      </c>
      <c r="B38" s="67"/>
      <c r="C38" s="549"/>
      <c r="D38" s="549"/>
      <c r="E38" s="549"/>
      <c r="F38" s="551">
        <f t="shared" si="1"/>
        <v>0</v>
      </c>
    </row>
    <row r="39" spans="1:16" ht="15" customHeight="1">
      <c r="A39" s="68" t="s">
        <v>579</v>
      </c>
      <c r="B39" s="69" t="s">
        <v>830</v>
      </c>
      <c r="C39" s="536">
        <f>SUM(C21:C38)</f>
        <v>31393.248</v>
      </c>
      <c r="D39" s="536"/>
      <c r="E39" s="536">
        <f>SUM(E21:E38)</f>
        <v>13174</v>
      </c>
      <c r="F39" s="550">
        <f>SUM(F21:F38)</f>
        <v>18219.248</v>
      </c>
      <c r="G39" s="526"/>
      <c r="H39" s="526"/>
      <c r="I39" s="526"/>
      <c r="J39" s="526"/>
      <c r="K39" s="526"/>
      <c r="L39" s="526"/>
      <c r="M39" s="526"/>
      <c r="N39" s="526"/>
      <c r="O39" s="526"/>
      <c r="P39" s="526"/>
    </row>
    <row r="40" spans="1:6" ht="12.75" customHeight="1">
      <c r="A40" s="66" t="s">
        <v>831</v>
      </c>
      <c r="B40" s="70"/>
      <c r="C40" s="536"/>
      <c r="D40" s="536"/>
      <c r="E40" s="536"/>
      <c r="F40" s="550"/>
    </row>
    <row r="41" spans="1:6" ht="12.75">
      <c r="A41" s="66" t="s">
        <v>869</v>
      </c>
      <c r="B41" s="70"/>
      <c r="C41" s="549">
        <f>10000/1000</f>
        <v>10</v>
      </c>
      <c r="D41" s="549"/>
      <c r="E41" s="549"/>
      <c r="F41" s="551">
        <f>C41-E41</f>
        <v>10</v>
      </c>
    </row>
    <row r="42" spans="1:6" ht="12.75">
      <c r="A42" s="66" t="s">
        <v>870</v>
      </c>
      <c r="B42" s="70"/>
      <c r="C42" s="549">
        <v>0</v>
      </c>
      <c r="D42" s="549"/>
      <c r="E42" s="549"/>
      <c r="F42" s="551">
        <f aca="true" t="shared" si="2" ref="F42:F55">C42-E42</f>
        <v>0</v>
      </c>
    </row>
    <row r="43" spans="1:6" ht="12.75">
      <c r="A43" s="66" t="s">
        <v>871</v>
      </c>
      <c r="B43" s="70"/>
      <c r="C43" s="549">
        <f>4200/1000</f>
        <v>4.2</v>
      </c>
      <c r="D43" s="549"/>
      <c r="E43" s="549"/>
      <c r="F43" s="551">
        <f t="shared" si="2"/>
        <v>4.2</v>
      </c>
    </row>
    <row r="44" spans="1:6" ht="12.75">
      <c r="A44" s="66" t="s">
        <v>872</v>
      </c>
      <c r="B44" s="70"/>
      <c r="C44" s="549">
        <f>1740/1000</f>
        <v>1.74</v>
      </c>
      <c r="D44" s="549"/>
      <c r="E44" s="549"/>
      <c r="F44" s="551">
        <f t="shared" si="2"/>
        <v>1.74</v>
      </c>
    </row>
    <row r="45" spans="1:6" ht="12.75">
      <c r="A45" s="66"/>
      <c r="B45" s="70"/>
      <c r="C45" s="549"/>
      <c r="D45" s="602"/>
      <c r="E45" s="549"/>
      <c r="F45" s="551">
        <f t="shared" si="2"/>
        <v>0</v>
      </c>
    </row>
    <row r="46" spans="1:6" ht="12.75">
      <c r="A46" s="66"/>
      <c r="B46" s="70"/>
      <c r="C46" s="549"/>
      <c r="D46" s="602"/>
      <c r="E46" s="549"/>
      <c r="F46" s="551">
        <f t="shared" si="2"/>
        <v>0</v>
      </c>
    </row>
    <row r="47" spans="1:6" ht="12.75">
      <c r="A47" s="66">
        <v>7</v>
      </c>
      <c r="B47" s="67"/>
      <c r="C47" s="549"/>
      <c r="D47" s="549"/>
      <c r="E47" s="549"/>
      <c r="F47" s="551">
        <f t="shared" si="2"/>
        <v>0</v>
      </c>
    </row>
    <row r="48" spans="1:6" ht="12.75">
      <c r="A48" s="66">
        <v>8</v>
      </c>
      <c r="B48" s="67"/>
      <c r="C48" s="549"/>
      <c r="D48" s="549"/>
      <c r="E48" s="549"/>
      <c r="F48" s="551">
        <f t="shared" si="2"/>
        <v>0</v>
      </c>
    </row>
    <row r="49" spans="1:6" ht="12.75">
      <c r="A49" s="66">
        <v>9</v>
      </c>
      <c r="B49" s="67"/>
      <c r="C49" s="549"/>
      <c r="D49" s="549"/>
      <c r="E49" s="549"/>
      <c r="F49" s="551">
        <f t="shared" si="2"/>
        <v>0</v>
      </c>
    </row>
    <row r="50" spans="1:6" ht="12.75">
      <c r="A50" s="66">
        <v>10</v>
      </c>
      <c r="B50" s="67"/>
      <c r="C50" s="549"/>
      <c r="D50" s="549"/>
      <c r="E50" s="549"/>
      <c r="F50" s="551">
        <f t="shared" si="2"/>
        <v>0</v>
      </c>
    </row>
    <row r="51" spans="1:6" ht="12.75">
      <c r="A51" s="66">
        <v>11</v>
      </c>
      <c r="B51" s="67"/>
      <c r="C51" s="549"/>
      <c r="D51" s="549"/>
      <c r="E51" s="549"/>
      <c r="F51" s="551">
        <f t="shared" si="2"/>
        <v>0</v>
      </c>
    </row>
    <row r="52" spans="1:6" ht="12.75">
      <c r="A52" s="66">
        <v>12</v>
      </c>
      <c r="B52" s="67"/>
      <c r="C52" s="549"/>
      <c r="D52" s="549"/>
      <c r="E52" s="549"/>
      <c r="F52" s="551">
        <f t="shared" si="2"/>
        <v>0</v>
      </c>
    </row>
    <row r="53" spans="1:6" ht="12.75">
      <c r="A53" s="66">
        <v>13</v>
      </c>
      <c r="B53" s="67"/>
      <c r="C53" s="549"/>
      <c r="D53" s="549"/>
      <c r="E53" s="549"/>
      <c r="F53" s="551">
        <f t="shared" si="2"/>
        <v>0</v>
      </c>
    </row>
    <row r="54" spans="1:6" ht="12" customHeight="1">
      <c r="A54" s="66">
        <v>14</v>
      </c>
      <c r="B54" s="67"/>
      <c r="C54" s="549"/>
      <c r="D54" s="549"/>
      <c r="E54" s="549"/>
      <c r="F54" s="551">
        <f t="shared" si="2"/>
        <v>0</v>
      </c>
    </row>
    <row r="55" spans="1:6" ht="12.75">
      <c r="A55" s="66">
        <v>15</v>
      </c>
      <c r="B55" s="67"/>
      <c r="C55" s="549"/>
      <c r="D55" s="549"/>
      <c r="E55" s="549"/>
      <c r="F55" s="551">
        <f t="shared" si="2"/>
        <v>0</v>
      </c>
    </row>
    <row r="56" spans="1:16" ht="12" customHeight="1">
      <c r="A56" s="68" t="s">
        <v>598</v>
      </c>
      <c r="B56" s="69" t="s">
        <v>832</v>
      </c>
      <c r="C56" s="536">
        <f>SUM(C41:C55)</f>
        <v>15.94</v>
      </c>
      <c r="D56" s="536"/>
      <c r="E56" s="536">
        <f>SUM(E41:E55)</f>
        <v>0</v>
      </c>
      <c r="F56" s="550">
        <f>SUM(F41:F55)</f>
        <v>15.94</v>
      </c>
      <c r="G56" s="526"/>
      <c r="H56" s="526"/>
      <c r="I56" s="526"/>
      <c r="J56" s="526"/>
      <c r="K56" s="526"/>
      <c r="L56" s="526"/>
      <c r="M56" s="526"/>
      <c r="N56" s="526"/>
      <c r="O56" s="526"/>
      <c r="P56" s="526"/>
    </row>
    <row r="57" spans="1:6" ht="18.75" customHeight="1">
      <c r="A57" s="66" t="s">
        <v>833</v>
      </c>
      <c r="B57" s="70"/>
      <c r="C57" s="536"/>
      <c r="D57" s="536"/>
      <c r="E57" s="536"/>
      <c r="F57" s="550"/>
    </row>
    <row r="58" spans="1:6" ht="12.75">
      <c r="A58" s="66"/>
      <c r="B58" s="67"/>
      <c r="C58" s="549"/>
      <c r="D58" s="598"/>
      <c r="E58" s="549"/>
      <c r="F58" s="551">
        <f>C58-E58</f>
        <v>0</v>
      </c>
    </row>
    <row r="59" spans="1:6" ht="12.75">
      <c r="A59" s="66" t="s">
        <v>544</v>
      </c>
      <c r="B59" s="70"/>
      <c r="C59" s="549"/>
      <c r="D59" s="549"/>
      <c r="E59" s="549"/>
      <c r="F59" s="551">
        <f aca="true" t="shared" si="3" ref="F59:F72">C59-E59</f>
        <v>0</v>
      </c>
    </row>
    <row r="60" spans="1:6" ht="12.75">
      <c r="A60" s="66" t="s">
        <v>547</v>
      </c>
      <c r="B60" s="70"/>
      <c r="C60" s="549"/>
      <c r="D60" s="549"/>
      <c r="E60" s="549"/>
      <c r="F60" s="551">
        <f t="shared" si="3"/>
        <v>0</v>
      </c>
    </row>
    <row r="61" spans="1:6" ht="12.75">
      <c r="A61" s="66" t="s">
        <v>550</v>
      </c>
      <c r="B61" s="70"/>
      <c r="C61" s="549"/>
      <c r="D61" s="549"/>
      <c r="E61" s="549"/>
      <c r="F61" s="551">
        <f t="shared" si="3"/>
        <v>0</v>
      </c>
    </row>
    <row r="62" spans="1:6" ht="12.75">
      <c r="A62" s="66">
        <v>5</v>
      </c>
      <c r="B62" s="67"/>
      <c r="C62" s="549"/>
      <c r="D62" s="549"/>
      <c r="E62" s="549"/>
      <c r="F62" s="551">
        <f t="shared" si="3"/>
        <v>0</v>
      </c>
    </row>
    <row r="63" spans="1:6" ht="12.75">
      <c r="A63" s="66">
        <v>6</v>
      </c>
      <c r="B63" s="67"/>
      <c r="C63" s="549"/>
      <c r="D63" s="549"/>
      <c r="E63" s="549"/>
      <c r="F63" s="551">
        <f t="shared" si="3"/>
        <v>0</v>
      </c>
    </row>
    <row r="64" spans="1:6" ht="12.75">
      <c r="A64" s="66">
        <v>7</v>
      </c>
      <c r="B64" s="67"/>
      <c r="C64" s="549"/>
      <c r="D64" s="549"/>
      <c r="E64" s="549"/>
      <c r="F64" s="551">
        <f t="shared" si="3"/>
        <v>0</v>
      </c>
    </row>
    <row r="65" spans="1:6" ht="12.75">
      <c r="A65" s="66">
        <v>8</v>
      </c>
      <c r="B65" s="67"/>
      <c r="C65" s="549"/>
      <c r="D65" s="549"/>
      <c r="E65" s="549"/>
      <c r="F65" s="551">
        <f t="shared" si="3"/>
        <v>0</v>
      </c>
    </row>
    <row r="66" spans="1:6" ht="12.75">
      <c r="A66" s="66">
        <v>9</v>
      </c>
      <c r="B66" s="67"/>
      <c r="C66" s="549"/>
      <c r="D66" s="549"/>
      <c r="E66" s="549"/>
      <c r="F66" s="551">
        <f t="shared" si="3"/>
        <v>0</v>
      </c>
    </row>
    <row r="67" spans="1:6" ht="12.75">
      <c r="A67" s="66">
        <v>10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11</v>
      </c>
      <c r="B68" s="67"/>
      <c r="C68" s="549"/>
      <c r="D68" s="549"/>
      <c r="E68" s="549"/>
      <c r="F68" s="551">
        <f t="shared" si="3"/>
        <v>0</v>
      </c>
    </row>
    <row r="69" spans="1:6" ht="12.75">
      <c r="A69" s="66">
        <v>12</v>
      </c>
      <c r="B69" s="67"/>
      <c r="C69" s="549"/>
      <c r="D69" s="549"/>
      <c r="E69" s="549"/>
      <c r="F69" s="551">
        <f t="shared" si="3"/>
        <v>0</v>
      </c>
    </row>
    <row r="70" spans="1:6" ht="12.75">
      <c r="A70" s="66">
        <v>13</v>
      </c>
      <c r="B70" s="67"/>
      <c r="C70" s="549"/>
      <c r="D70" s="549"/>
      <c r="E70" s="549"/>
      <c r="F70" s="551">
        <f t="shared" si="3"/>
        <v>0</v>
      </c>
    </row>
    <row r="71" spans="1:6" ht="12" customHeight="1">
      <c r="A71" s="66">
        <v>14</v>
      </c>
      <c r="B71" s="67"/>
      <c r="C71" s="549"/>
      <c r="D71" s="549"/>
      <c r="E71" s="549"/>
      <c r="F71" s="551">
        <f t="shared" si="3"/>
        <v>0</v>
      </c>
    </row>
    <row r="72" spans="1:6" ht="12.75">
      <c r="A72" s="66">
        <v>15</v>
      </c>
      <c r="B72" s="67"/>
      <c r="C72" s="549"/>
      <c r="D72" s="549"/>
      <c r="E72" s="549"/>
      <c r="F72" s="551">
        <f t="shared" si="3"/>
        <v>0</v>
      </c>
    </row>
    <row r="73" spans="1:16" ht="14.25" customHeight="1">
      <c r="A73" s="68" t="s">
        <v>834</v>
      </c>
      <c r="B73" s="69" t="s">
        <v>835</v>
      </c>
      <c r="C73" s="536">
        <f>SUM(C58:C72)</f>
        <v>0</v>
      </c>
      <c r="D73" s="536"/>
      <c r="E73" s="536">
        <f>SUM(E58:E72)</f>
        <v>0</v>
      </c>
      <c r="F73" s="550">
        <f>SUM(F58:F72)</f>
        <v>0</v>
      </c>
      <c r="G73" s="526"/>
      <c r="H73" s="526"/>
      <c r="I73" s="526"/>
      <c r="J73" s="526"/>
      <c r="K73" s="526"/>
      <c r="L73" s="526"/>
      <c r="M73" s="526"/>
      <c r="N73" s="526"/>
      <c r="O73" s="526"/>
      <c r="P73" s="526"/>
    </row>
    <row r="74" spans="1:16" ht="20.25" customHeight="1">
      <c r="A74" s="71" t="s">
        <v>836</v>
      </c>
      <c r="B74" s="69" t="s">
        <v>837</v>
      </c>
      <c r="C74" s="536">
        <f>C73+C56+C39+C24</f>
        <v>55127.436</v>
      </c>
      <c r="D74" s="536"/>
      <c r="E74" s="536">
        <f>E73+E56+E39+E24</f>
        <v>19761</v>
      </c>
      <c r="F74" s="550">
        <f>F73+F56+F39+F24</f>
        <v>35366.436</v>
      </c>
      <c r="G74" s="526"/>
      <c r="H74" s="526"/>
      <c r="I74" s="526"/>
      <c r="J74" s="526"/>
      <c r="K74" s="526"/>
      <c r="L74" s="526"/>
      <c r="M74" s="526"/>
      <c r="N74" s="526"/>
      <c r="O74" s="526"/>
      <c r="P74" s="526"/>
    </row>
    <row r="75" spans="1:6" ht="15" customHeight="1">
      <c r="A75" s="64" t="s">
        <v>838</v>
      </c>
      <c r="B75" s="69"/>
      <c r="C75" s="536"/>
      <c r="D75" s="536"/>
      <c r="E75" s="536"/>
      <c r="F75" s="550"/>
    </row>
    <row r="76" spans="1:6" ht="14.25" customHeight="1">
      <c r="A76" s="66" t="s">
        <v>827</v>
      </c>
      <c r="B76" s="70"/>
      <c r="C76" s="536"/>
      <c r="D76" s="536"/>
      <c r="E76" s="536"/>
      <c r="F76" s="550"/>
    </row>
    <row r="77" spans="1:6" ht="12.75">
      <c r="A77" s="66" t="s">
        <v>873</v>
      </c>
      <c r="B77" s="67"/>
      <c r="C77" s="549">
        <f>3771094/1000</f>
        <v>3771.094</v>
      </c>
      <c r="D77" s="598">
        <v>84.38</v>
      </c>
      <c r="E77" s="549"/>
      <c r="F77" s="551">
        <f>C77-E77</f>
        <v>3771.094</v>
      </c>
    </row>
    <row r="78" spans="1:6" ht="12.75">
      <c r="A78" s="66" t="s">
        <v>877</v>
      </c>
      <c r="B78" s="70"/>
      <c r="C78" s="549">
        <v>13</v>
      </c>
      <c r="D78" s="599">
        <v>100</v>
      </c>
      <c r="E78" s="549"/>
      <c r="F78" s="551">
        <f aca="true" t="shared" si="4" ref="F78:F91">C78-E78</f>
        <v>13</v>
      </c>
    </row>
    <row r="79" spans="1:6" ht="12.75">
      <c r="A79" s="66" t="s">
        <v>547</v>
      </c>
      <c r="B79" s="70"/>
      <c r="C79" s="549"/>
      <c r="D79" s="549"/>
      <c r="E79" s="549"/>
      <c r="F79" s="551">
        <f t="shared" si="4"/>
        <v>0</v>
      </c>
    </row>
    <row r="80" spans="1:6" ht="12.75">
      <c r="A80" s="66" t="s">
        <v>550</v>
      </c>
      <c r="B80" s="70"/>
      <c r="C80" s="549"/>
      <c r="D80" s="549"/>
      <c r="E80" s="549"/>
      <c r="F80" s="551">
        <f t="shared" si="4"/>
        <v>0</v>
      </c>
    </row>
    <row r="81" spans="1:6" ht="12.75">
      <c r="A81" s="66">
        <v>5</v>
      </c>
      <c r="B81" s="67"/>
      <c r="C81" s="549"/>
      <c r="D81" s="549"/>
      <c r="E81" s="549"/>
      <c r="F81" s="551">
        <f t="shared" si="4"/>
        <v>0</v>
      </c>
    </row>
    <row r="82" spans="1:6" ht="12.75">
      <c r="A82" s="66">
        <v>6</v>
      </c>
      <c r="B82" s="67"/>
      <c r="C82" s="549"/>
      <c r="D82" s="549"/>
      <c r="E82" s="549"/>
      <c r="F82" s="551">
        <f t="shared" si="4"/>
        <v>0</v>
      </c>
    </row>
    <row r="83" spans="1:6" ht="12.75">
      <c r="A83" s="66">
        <v>7</v>
      </c>
      <c r="B83" s="67"/>
      <c r="C83" s="549"/>
      <c r="D83" s="549"/>
      <c r="E83" s="549"/>
      <c r="F83" s="551">
        <f t="shared" si="4"/>
        <v>0</v>
      </c>
    </row>
    <row r="84" spans="1:6" ht="12.75">
      <c r="A84" s="66">
        <v>8</v>
      </c>
      <c r="B84" s="67"/>
      <c r="C84" s="549"/>
      <c r="D84" s="549"/>
      <c r="E84" s="549"/>
      <c r="F84" s="551">
        <f t="shared" si="4"/>
        <v>0</v>
      </c>
    </row>
    <row r="85" spans="1:6" ht="12" customHeight="1">
      <c r="A85" s="66">
        <v>9</v>
      </c>
      <c r="B85" s="67"/>
      <c r="C85" s="549"/>
      <c r="D85" s="549"/>
      <c r="E85" s="549"/>
      <c r="F85" s="551">
        <f t="shared" si="4"/>
        <v>0</v>
      </c>
    </row>
    <row r="86" spans="1:6" ht="12.75">
      <c r="A86" s="66">
        <v>10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11</v>
      </c>
      <c r="B87" s="67"/>
      <c r="C87" s="549"/>
      <c r="D87" s="549"/>
      <c r="E87" s="549"/>
      <c r="F87" s="551">
        <f t="shared" si="4"/>
        <v>0</v>
      </c>
    </row>
    <row r="88" spans="1:6" ht="12.75">
      <c r="A88" s="66">
        <v>12</v>
      </c>
      <c r="B88" s="67"/>
      <c r="C88" s="549"/>
      <c r="D88" s="549"/>
      <c r="E88" s="549"/>
      <c r="F88" s="551">
        <f t="shared" si="4"/>
        <v>0</v>
      </c>
    </row>
    <row r="89" spans="1:6" ht="12.75">
      <c r="A89" s="66">
        <v>13</v>
      </c>
      <c r="B89" s="67"/>
      <c r="C89" s="549"/>
      <c r="D89" s="549"/>
      <c r="E89" s="549"/>
      <c r="F89" s="551">
        <f t="shared" si="4"/>
        <v>0</v>
      </c>
    </row>
    <row r="90" spans="1:6" ht="12" customHeight="1">
      <c r="A90" s="66">
        <v>14</v>
      </c>
      <c r="B90" s="67"/>
      <c r="C90" s="549"/>
      <c r="D90" s="549"/>
      <c r="E90" s="549"/>
      <c r="F90" s="551">
        <f t="shared" si="4"/>
        <v>0</v>
      </c>
    </row>
    <row r="91" spans="1:6" ht="12.75">
      <c r="A91" s="66">
        <v>15</v>
      </c>
      <c r="B91" s="67"/>
      <c r="C91" s="549"/>
      <c r="D91" s="549"/>
      <c r="E91" s="549"/>
      <c r="F91" s="551">
        <f t="shared" si="4"/>
        <v>0</v>
      </c>
    </row>
    <row r="92" spans="1:16" ht="15" customHeight="1">
      <c r="A92" s="68" t="s">
        <v>562</v>
      </c>
      <c r="B92" s="69" t="s">
        <v>839</v>
      </c>
      <c r="C92" s="536">
        <f>SUM(C77:C91)</f>
        <v>3784.094</v>
      </c>
      <c r="D92" s="536"/>
      <c r="E92" s="536">
        <f>SUM(E77:E91)</f>
        <v>0</v>
      </c>
      <c r="F92" s="550">
        <f>SUM(F77:F91)</f>
        <v>3784.094</v>
      </c>
      <c r="G92" s="526"/>
      <c r="H92" s="526"/>
      <c r="I92" s="526"/>
      <c r="J92" s="526"/>
      <c r="K92" s="526"/>
      <c r="L92" s="526"/>
      <c r="M92" s="526"/>
      <c r="N92" s="526"/>
      <c r="O92" s="526"/>
      <c r="P92" s="526"/>
    </row>
    <row r="93" spans="1:6" ht="15.75" customHeight="1">
      <c r="A93" s="66" t="s">
        <v>829</v>
      </c>
      <c r="B93" s="70"/>
      <c r="C93" s="536"/>
      <c r="D93" s="536"/>
      <c r="E93" s="536"/>
      <c r="F93" s="550"/>
    </row>
    <row r="94" spans="1:6" ht="12.75">
      <c r="A94" s="66" t="s">
        <v>541</v>
      </c>
      <c r="B94" s="70"/>
      <c r="C94" s="549"/>
      <c r="D94" s="549"/>
      <c r="E94" s="549"/>
      <c r="F94" s="551">
        <f>C94-E94</f>
        <v>0</v>
      </c>
    </row>
    <row r="95" spans="1:6" ht="12.75">
      <c r="A95" s="66" t="s">
        <v>544</v>
      </c>
      <c r="B95" s="70"/>
      <c r="C95" s="549"/>
      <c r="D95" s="549"/>
      <c r="E95" s="549"/>
      <c r="F95" s="551">
        <f aca="true" t="shared" si="5" ref="F95:F108">C95-E95</f>
        <v>0</v>
      </c>
    </row>
    <row r="96" spans="1:6" ht="12.75">
      <c r="A96" s="66" t="s">
        <v>547</v>
      </c>
      <c r="B96" s="70"/>
      <c r="C96" s="549"/>
      <c r="D96" s="549"/>
      <c r="E96" s="549"/>
      <c r="F96" s="551">
        <f t="shared" si="5"/>
        <v>0</v>
      </c>
    </row>
    <row r="97" spans="1:6" ht="12.75">
      <c r="A97" s="66" t="s">
        <v>550</v>
      </c>
      <c r="B97" s="70"/>
      <c r="C97" s="549"/>
      <c r="D97" s="549"/>
      <c r="E97" s="549"/>
      <c r="F97" s="551">
        <f t="shared" si="5"/>
        <v>0</v>
      </c>
    </row>
    <row r="98" spans="1:6" ht="12.75">
      <c r="A98" s="66">
        <v>5</v>
      </c>
      <c r="B98" s="67"/>
      <c r="C98" s="549"/>
      <c r="D98" s="549"/>
      <c r="E98" s="549"/>
      <c r="F98" s="551">
        <f t="shared" si="5"/>
        <v>0</v>
      </c>
    </row>
    <row r="99" spans="1:6" ht="12.75">
      <c r="A99" s="66">
        <v>6</v>
      </c>
      <c r="B99" s="67"/>
      <c r="C99" s="549"/>
      <c r="D99" s="549"/>
      <c r="E99" s="549"/>
      <c r="F99" s="551">
        <f t="shared" si="5"/>
        <v>0</v>
      </c>
    </row>
    <row r="100" spans="1:6" ht="12.75">
      <c r="A100" s="66">
        <v>7</v>
      </c>
      <c r="B100" s="67"/>
      <c r="C100" s="549"/>
      <c r="D100" s="549"/>
      <c r="E100" s="549"/>
      <c r="F100" s="551">
        <f t="shared" si="5"/>
        <v>0</v>
      </c>
    </row>
    <row r="101" spans="1:6" ht="12.75">
      <c r="A101" s="66">
        <v>8</v>
      </c>
      <c r="B101" s="67"/>
      <c r="C101" s="549"/>
      <c r="D101" s="549"/>
      <c r="E101" s="549"/>
      <c r="F101" s="551">
        <f t="shared" si="5"/>
        <v>0</v>
      </c>
    </row>
    <row r="102" spans="1:6" ht="12" customHeight="1">
      <c r="A102" s="66">
        <v>9</v>
      </c>
      <c r="B102" s="67"/>
      <c r="C102" s="549"/>
      <c r="D102" s="549"/>
      <c r="E102" s="549"/>
      <c r="F102" s="551">
        <f t="shared" si="5"/>
        <v>0</v>
      </c>
    </row>
    <row r="103" spans="1:6" ht="12.75">
      <c r="A103" s="66">
        <v>10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11</v>
      </c>
      <c r="B104" s="67"/>
      <c r="C104" s="549"/>
      <c r="D104" s="549"/>
      <c r="E104" s="549"/>
      <c r="F104" s="551">
        <f t="shared" si="5"/>
        <v>0</v>
      </c>
    </row>
    <row r="105" spans="1:6" ht="12.75">
      <c r="A105" s="66">
        <v>12</v>
      </c>
      <c r="B105" s="67"/>
      <c r="C105" s="549"/>
      <c r="D105" s="549"/>
      <c r="E105" s="549"/>
      <c r="F105" s="551">
        <f t="shared" si="5"/>
        <v>0</v>
      </c>
    </row>
    <row r="106" spans="1:6" ht="12.75">
      <c r="A106" s="66">
        <v>13</v>
      </c>
      <c r="B106" s="67"/>
      <c r="C106" s="549"/>
      <c r="D106" s="549"/>
      <c r="E106" s="549"/>
      <c r="F106" s="551">
        <f t="shared" si="5"/>
        <v>0</v>
      </c>
    </row>
    <row r="107" spans="1:6" ht="12" customHeight="1">
      <c r="A107" s="66">
        <v>14</v>
      </c>
      <c r="B107" s="67"/>
      <c r="C107" s="549"/>
      <c r="D107" s="549"/>
      <c r="E107" s="549"/>
      <c r="F107" s="551">
        <f t="shared" si="5"/>
        <v>0</v>
      </c>
    </row>
    <row r="108" spans="1:6" ht="12.75">
      <c r="A108" s="66">
        <v>15</v>
      </c>
      <c r="B108" s="67"/>
      <c r="C108" s="549"/>
      <c r="D108" s="549"/>
      <c r="E108" s="549"/>
      <c r="F108" s="551">
        <f t="shared" si="5"/>
        <v>0</v>
      </c>
    </row>
    <row r="109" spans="1:16" ht="11.25" customHeight="1">
      <c r="A109" s="68" t="s">
        <v>579</v>
      </c>
      <c r="B109" s="69" t="s">
        <v>840</v>
      </c>
      <c r="C109" s="536">
        <f>SUM(C94:C108)</f>
        <v>0</v>
      </c>
      <c r="D109" s="536"/>
      <c r="E109" s="536">
        <f>SUM(E94:E108)</f>
        <v>0</v>
      </c>
      <c r="F109" s="550">
        <f>SUM(F94:F108)</f>
        <v>0</v>
      </c>
      <c r="G109" s="526"/>
      <c r="H109" s="526"/>
      <c r="I109" s="526"/>
      <c r="J109" s="526"/>
      <c r="K109" s="526"/>
      <c r="L109" s="526"/>
      <c r="M109" s="526"/>
      <c r="N109" s="526"/>
      <c r="O109" s="526"/>
      <c r="P109" s="526"/>
    </row>
    <row r="110" spans="1:6" ht="15" customHeight="1">
      <c r="A110" s="66" t="s">
        <v>831</v>
      </c>
      <c r="B110" s="70"/>
      <c r="C110" s="536"/>
      <c r="D110" s="536"/>
      <c r="E110" s="536"/>
      <c r="F110" s="550"/>
    </row>
    <row r="111" spans="1:6" ht="12.75">
      <c r="A111" s="66" t="s">
        <v>541</v>
      </c>
      <c r="B111" s="70"/>
      <c r="C111" s="549"/>
      <c r="D111" s="549"/>
      <c r="E111" s="549"/>
      <c r="F111" s="551">
        <f>C111-E111</f>
        <v>0</v>
      </c>
    </row>
    <row r="112" spans="1:6" ht="12.75">
      <c r="A112" s="66" t="s">
        <v>544</v>
      </c>
      <c r="B112" s="70"/>
      <c r="C112" s="549"/>
      <c r="D112" s="549"/>
      <c r="E112" s="549"/>
      <c r="F112" s="551">
        <f aca="true" t="shared" si="6" ref="F112:F125">C112-E112</f>
        <v>0</v>
      </c>
    </row>
    <row r="113" spans="1:6" ht="12.75">
      <c r="A113" s="66" t="s">
        <v>547</v>
      </c>
      <c r="B113" s="70"/>
      <c r="C113" s="549"/>
      <c r="D113" s="549"/>
      <c r="E113" s="549"/>
      <c r="F113" s="551">
        <f t="shared" si="6"/>
        <v>0</v>
      </c>
    </row>
    <row r="114" spans="1:6" ht="12.75">
      <c r="A114" s="66" t="s">
        <v>550</v>
      </c>
      <c r="B114" s="70"/>
      <c r="C114" s="549"/>
      <c r="D114" s="549"/>
      <c r="E114" s="549"/>
      <c r="F114" s="551">
        <f t="shared" si="6"/>
        <v>0</v>
      </c>
    </row>
    <row r="115" spans="1:6" ht="12.75">
      <c r="A115" s="66">
        <v>5</v>
      </c>
      <c r="B115" s="67"/>
      <c r="C115" s="549"/>
      <c r="D115" s="549"/>
      <c r="E115" s="549"/>
      <c r="F115" s="551">
        <f t="shared" si="6"/>
        <v>0</v>
      </c>
    </row>
    <row r="116" spans="1:6" ht="12.75">
      <c r="A116" s="66">
        <v>6</v>
      </c>
      <c r="B116" s="67"/>
      <c r="C116" s="549"/>
      <c r="D116" s="549"/>
      <c r="E116" s="549"/>
      <c r="F116" s="551">
        <f t="shared" si="6"/>
        <v>0</v>
      </c>
    </row>
    <row r="117" spans="1:6" ht="12.75">
      <c r="A117" s="66">
        <v>7</v>
      </c>
      <c r="B117" s="67"/>
      <c r="C117" s="549"/>
      <c r="D117" s="549"/>
      <c r="E117" s="549"/>
      <c r="F117" s="551">
        <f t="shared" si="6"/>
        <v>0</v>
      </c>
    </row>
    <row r="118" spans="1:6" ht="12.75">
      <c r="A118" s="66">
        <v>8</v>
      </c>
      <c r="B118" s="67"/>
      <c r="C118" s="549"/>
      <c r="D118" s="549"/>
      <c r="E118" s="549"/>
      <c r="F118" s="551">
        <f t="shared" si="6"/>
        <v>0</v>
      </c>
    </row>
    <row r="119" spans="1:6" ht="12" customHeight="1">
      <c r="A119" s="66">
        <v>9</v>
      </c>
      <c r="B119" s="67"/>
      <c r="C119" s="549"/>
      <c r="D119" s="549"/>
      <c r="E119" s="549"/>
      <c r="F119" s="551">
        <f t="shared" si="6"/>
        <v>0</v>
      </c>
    </row>
    <row r="120" spans="1:6" ht="12.75">
      <c r="A120" s="66">
        <v>10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11</v>
      </c>
      <c r="B121" s="67"/>
      <c r="C121" s="549"/>
      <c r="D121" s="549"/>
      <c r="E121" s="549"/>
      <c r="F121" s="551">
        <f t="shared" si="6"/>
        <v>0</v>
      </c>
    </row>
    <row r="122" spans="1:6" ht="12.75">
      <c r="A122" s="66">
        <v>12</v>
      </c>
      <c r="B122" s="67"/>
      <c r="C122" s="549"/>
      <c r="D122" s="549"/>
      <c r="E122" s="549"/>
      <c r="F122" s="551">
        <f t="shared" si="6"/>
        <v>0</v>
      </c>
    </row>
    <row r="123" spans="1:6" ht="12.75">
      <c r="A123" s="66">
        <v>13</v>
      </c>
      <c r="B123" s="67"/>
      <c r="C123" s="549"/>
      <c r="D123" s="549"/>
      <c r="E123" s="549"/>
      <c r="F123" s="551">
        <f t="shared" si="6"/>
        <v>0</v>
      </c>
    </row>
    <row r="124" spans="1:6" ht="12" customHeight="1">
      <c r="A124" s="66">
        <v>14</v>
      </c>
      <c r="B124" s="67"/>
      <c r="C124" s="549"/>
      <c r="D124" s="549"/>
      <c r="E124" s="549"/>
      <c r="F124" s="551">
        <f t="shared" si="6"/>
        <v>0</v>
      </c>
    </row>
    <row r="125" spans="1:6" ht="12.75">
      <c r="A125" s="66">
        <v>15</v>
      </c>
      <c r="B125" s="67"/>
      <c r="C125" s="549"/>
      <c r="D125" s="549"/>
      <c r="E125" s="549"/>
      <c r="F125" s="551">
        <f t="shared" si="6"/>
        <v>0</v>
      </c>
    </row>
    <row r="126" spans="1:16" ht="15.75" customHeight="1">
      <c r="A126" s="68" t="s">
        <v>598</v>
      </c>
      <c r="B126" s="69" t="s">
        <v>841</v>
      </c>
      <c r="C126" s="536">
        <f>SUM(C111:C125)</f>
        <v>0</v>
      </c>
      <c r="D126" s="536"/>
      <c r="E126" s="536">
        <f>SUM(E111:E125)</f>
        <v>0</v>
      </c>
      <c r="F126" s="550">
        <f>SUM(F111:F125)</f>
        <v>0</v>
      </c>
      <c r="G126" s="526"/>
      <c r="H126" s="526"/>
      <c r="I126" s="526"/>
      <c r="J126" s="526"/>
      <c r="K126" s="526"/>
      <c r="L126" s="526"/>
      <c r="M126" s="526"/>
      <c r="N126" s="526"/>
      <c r="O126" s="526"/>
      <c r="P126" s="526"/>
    </row>
    <row r="127" spans="1:6" ht="12.75" customHeight="1">
      <c r="A127" s="66" t="s">
        <v>833</v>
      </c>
      <c r="B127" s="70"/>
      <c r="C127" s="536"/>
      <c r="D127" s="536"/>
      <c r="E127" s="536"/>
      <c r="F127" s="550"/>
    </row>
    <row r="128" spans="1:6" ht="12.75">
      <c r="A128" s="66" t="s">
        <v>541</v>
      </c>
      <c r="B128" s="70"/>
      <c r="C128" s="549"/>
      <c r="D128" s="549"/>
      <c r="E128" s="549"/>
      <c r="F128" s="551">
        <f>C128-E128</f>
        <v>0</v>
      </c>
    </row>
    <row r="129" spans="1:6" ht="12.75">
      <c r="A129" s="66" t="s">
        <v>544</v>
      </c>
      <c r="B129" s="70"/>
      <c r="C129" s="549"/>
      <c r="D129" s="549"/>
      <c r="E129" s="549"/>
      <c r="F129" s="551">
        <f aca="true" t="shared" si="7" ref="F129:F142">C129-E129</f>
        <v>0</v>
      </c>
    </row>
    <row r="130" spans="1:6" ht="12.75">
      <c r="A130" s="66" t="s">
        <v>547</v>
      </c>
      <c r="B130" s="70"/>
      <c r="C130" s="549"/>
      <c r="D130" s="549"/>
      <c r="E130" s="549"/>
      <c r="F130" s="551">
        <f t="shared" si="7"/>
        <v>0</v>
      </c>
    </row>
    <row r="131" spans="1:6" ht="12.75">
      <c r="A131" s="66" t="s">
        <v>550</v>
      </c>
      <c r="B131" s="70"/>
      <c r="C131" s="549"/>
      <c r="D131" s="549"/>
      <c r="E131" s="549"/>
      <c r="F131" s="551">
        <f t="shared" si="7"/>
        <v>0</v>
      </c>
    </row>
    <row r="132" spans="1:6" ht="12.75">
      <c r="A132" s="66">
        <v>5</v>
      </c>
      <c r="B132" s="67"/>
      <c r="C132" s="549"/>
      <c r="D132" s="549"/>
      <c r="E132" s="549"/>
      <c r="F132" s="551">
        <f t="shared" si="7"/>
        <v>0</v>
      </c>
    </row>
    <row r="133" spans="1:6" ht="12.75">
      <c r="A133" s="66">
        <v>6</v>
      </c>
      <c r="B133" s="67"/>
      <c r="C133" s="549"/>
      <c r="D133" s="549"/>
      <c r="E133" s="549"/>
      <c r="F133" s="551">
        <f t="shared" si="7"/>
        <v>0</v>
      </c>
    </row>
    <row r="134" spans="1:6" ht="12.75">
      <c r="A134" s="66">
        <v>7</v>
      </c>
      <c r="B134" s="67"/>
      <c r="C134" s="549"/>
      <c r="D134" s="549"/>
      <c r="E134" s="549"/>
      <c r="F134" s="551">
        <f t="shared" si="7"/>
        <v>0</v>
      </c>
    </row>
    <row r="135" spans="1:6" ht="12.75">
      <c r="A135" s="66">
        <v>8</v>
      </c>
      <c r="B135" s="67"/>
      <c r="C135" s="549"/>
      <c r="D135" s="549"/>
      <c r="E135" s="549"/>
      <c r="F135" s="551">
        <f t="shared" si="7"/>
        <v>0</v>
      </c>
    </row>
    <row r="136" spans="1:6" ht="12" customHeight="1">
      <c r="A136" s="66">
        <v>9</v>
      </c>
      <c r="B136" s="67"/>
      <c r="C136" s="549"/>
      <c r="D136" s="549"/>
      <c r="E136" s="549"/>
      <c r="F136" s="551">
        <f t="shared" si="7"/>
        <v>0</v>
      </c>
    </row>
    <row r="137" spans="1:6" ht="12.75">
      <c r="A137" s="66">
        <v>10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11</v>
      </c>
      <c r="B138" s="67"/>
      <c r="C138" s="549"/>
      <c r="D138" s="549"/>
      <c r="E138" s="549"/>
      <c r="F138" s="551">
        <f t="shared" si="7"/>
        <v>0</v>
      </c>
    </row>
    <row r="139" spans="1:6" ht="12.75">
      <c r="A139" s="66">
        <v>12</v>
      </c>
      <c r="B139" s="67"/>
      <c r="C139" s="549"/>
      <c r="D139" s="549"/>
      <c r="E139" s="549"/>
      <c r="F139" s="551">
        <f t="shared" si="7"/>
        <v>0</v>
      </c>
    </row>
    <row r="140" spans="1:6" ht="12.75">
      <c r="A140" s="66">
        <v>13</v>
      </c>
      <c r="B140" s="67"/>
      <c r="C140" s="549"/>
      <c r="D140" s="549"/>
      <c r="E140" s="549"/>
      <c r="F140" s="551">
        <f t="shared" si="7"/>
        <v>0</v>
      </c>
    </row>
    <row r="141" spans="1:6" ht="12" customHeight="1">
      <c r="A141" s="66">
        <v>14</v>
      </c>
      <c r="B141" s="67"/>
      <c r="C141" s="549"/>
      <c r="D141" s="549"/>
      <c r="E141" s="549"/>
      <c r="F141" s="551">
        <f t="shared" si="7"/>
        <v>0</v>
      </c>
    </row>
    <row r="142" spans="1:6" ht="12.75">
      <c r="A142" s="66">
        <v>15</v>
      </c>
      <c r="B142" s="67"/>
      <c r="C142" s="549"/>
      <c r="D142" s="549"/>
      <c r="E142" s="549"/>
      <c r="F142" s="551">
        <f t="shared" si="7"/>
        <v>0</v>
      </c>
    </row>
    <row r="143" spans="1:16" ht="17.25" customHeight="1">
      <c r="A143" s="68" t="s">
        <v>834</v>
      </c>
      <c r="B143" s="69" t="s">
        <v>842</v>
      </c>
      <c r="C143" s="536">
        <f>SUM(C128:C142)</f>
        <v>0</v>
      </c>
      <c r="D143" s="536"/>
      <c r="E143" s="536">
        <f>SUM(E128:E142)</f>
        <v>0</v>
      </c>
      <c r="F143" s="550">
        <f>SUM(F128:F142)</f>
        <v>0</v>
      </c>
      <c r="G143" s="526"/>
      <c r="H143" s="526"/>
      <c r="I143" s="526"/>
      <c r="J143" s="526"/>
      <c r="K143" s="526"/>
      <c r="L143" s="526"/>
      <c r="M143" s="526"/>
      <c r="N143" s="526"/>
      <c r="O143" s="526"/>
      <c r="P143" s="526"/>
    </row>
    <row r="144" spans="1:16" ht="19.5" customHeight="1">
      <c r="A144" s="71" t="s">
        <v>843</v>
      </c>
      <c r="B144" s="69" t="s">
        <v>844</v>
      </c>
      <c r="C144" s="536">
        <f>C143+C126+C109+C92</f>
        <v>3784.094</v>
      </c>
      <c r="D144" s="536"/>
      <c r="E144" s="536">
        <f>E143+E126+E109+E92</f>
        <v>0</v>
      </c>
      <c r="F144" s="550">
        <f>F143+F126+F109+F92</f>
        <v>3784.094</v>
      </c>
      <c r="G144" s="526"/>
      <c r="H144" s="526"/>
      <c r="I144" s="526"/>
      <c r="J144" s="526"/>
      <c r="K144" s="526"/>
      <c r="L144" s="526"/>
      <c r="M144" s="526"/>
      <c r="N144" s="526"/>
      <c r="O144" s="526"/>
      <c r="P144" s="526"/>
    </row>
    <row r="145" spans="1:6" ht="19.5" customHeight="1">
      <c r="A145" s="72"/>
      <c r="B145" s="73"/>
      <c r="C145" s="74"/>
      <c r="D145" s="74"/>
      <c r="E145" s="74"/>
      <c r="F145" s="74"/>
    </row>
    <row r="146" spans="1:6" ht="12.75">
      <c r="A146" s="559" t="s">
        <v>890</v>
      </c>
      <c r="B146" s="560"/>
      <c r="C146" s="646" t="s">
        <v>845</v>
      </c>
      <c r="D146" s="646"/>
      <c r="E146" s="646"/>
      <c r="F146" s="646"/>
    </row>
    <row r="147" spans="1:6" ht="12.75">
      <c r="A147" s="75"/>
      <c r="B147" s="76"/>
      <c r="C147" s="75" t="s">
        <v>874</v>
      </c>
      <c r="D147" s="75"/>
      <c r="E147" s="75"/>
      <c r="F147" s="75"/>
    </row>
    <row r="148" spans="1:6" ht="12.75">
      <c r="A148" s="75"/>
      <c r="B148" s="76"/>
      <c r="C148" s="646" t="s">
        <v>852</v>
      </c>
      <c r="D148" s="646"/>
      <c r="E148" s="646"/>
      <c r="F148" s="646"/>
    </row>
    <row r="149" spans="3:5" ht="12.75">
      <c r="C149" s="75" t="s">
        <v>875</v>
      </c>
      <c r="E149" s="75"/>
    </row>
  </sheetData>
  <sheetProtection/>
  <mergeCells count="5">
    <mergeCell ref="C148:F148"/>
    <mergeCell ref="C146:F146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8:F142 C41:F55 C111:F125 C94:F108 C58:F72 C26:F38 C77:F91 C11:F2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2009-03-30T13:49:43Z</cp:lastPrinted>
  <dcterms:created xsi:type="dcterms:W3CDTF">2000-06-29T12:02:40Z</dcterms:created>
  <dcterms:modified xsi:type="dcterms:W3CDTF">2009-03-30T13:50:23Z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