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<sst xmlns="http://schemas.openxmlformats.org/spreadsheetml/2006/main" count="1061" uniqueCount="874">
  <si>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</si>
  <si>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</si>
  <si>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</si>
  <si>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</si>
  <si>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</si>
  <si>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</si>
  <si>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</si>
  <si>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</si>
  <si>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</si>
  <si>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</si>
  <si>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</si>
  <si>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</si>
  <si>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</si>
  <si>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</si>
  <si>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</si>
  <si>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</si>
  <si>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</si>
  <si>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</si>
  <si>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</si>
  <si>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</si>
  <si>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</si>
  <si>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</si>
  <si>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</si>
  <si>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</si>
  <si>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</si>
  <si>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</si>
  <si>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</si>
  <si>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</si>
  <si>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</si>
  <si>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</si>
  <si>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</si>
  <si>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</si>
  <si>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</si>
  <si>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</si>
  <si>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</si>
  <si>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</si>
  <si>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</si>
  <si>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</si>
  <si>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</si>
  <si>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</si>
  <si>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</si>
  <si>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</si>
  <si>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</si>
  <si>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</si>
  <si>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</si>
  <si>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</si>
  <si>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</si>
  <si>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</si>
  <si>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</si>
  <si>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</si>
  <si>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</si>
  <si>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</si>
  <si>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</si>
  <si>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</si>
  <si>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</si>
  <si>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</si>
  <si>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</si>
  <si>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</si>
  <si>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</si>
  <si>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</si>
  <si>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</si>
  <si>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</si>
  <si>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</si>
  <si>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</si>
  <si>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</si>
  <si>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</si>
  <si>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</si>
  <si>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</si>
  <si>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</si>
  <si>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</si>
  <si>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</si>
  <si>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</si>
  <si>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</si>
  <si>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</si>
  <si>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</si>
  <si>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</si>
  <si>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</si>
  <si>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</si>
  <si>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</si>
  <si>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</si>
  <si>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</si>
  <si>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</si>
  <si>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</si>
  <si>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</si>
  <si>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</si>
  <si>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</si>
  <si>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</si>
  <si>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</si>
  <si>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</si>
  <si>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</si>
  <si>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</si>
  <si>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</si>
  <si>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</si>
  <si>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</si>
  <si>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</si>
  <si>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</si>
  <si>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</si>
  <si>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</si>
  <si>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</si>
  <si>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</si>
  <si>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</si>
  <si>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</si>
  <si>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</si>
  <si>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</si>
  <si>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</si>
  <si>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</si>
  <si>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</si>
  <si>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</si>
  <si>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</si>
  <si>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</si>
  <si>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</si>
  <si>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</si>
  <si>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</si>
  <si>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</si>
  <si>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</si>
  <si>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</si>
  <si>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</si>
  <si>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</si>
  <si>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</si>
  <si>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</si>
  <si>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</si>
  <si>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</si>
  <si>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</si>
  <si>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</si>
  <si>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</si>
  <si>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</si>
  <si>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</si>
  <si>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</si>
  <si>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</si>
  <si>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</si>
  <si>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</si>
  <si>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</si>
  <si>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</si>
  <si>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</si>
  <si>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</si>
  <si>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</si>
  <si>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</si>
  <si>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</si>
  <si>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</si>
  <si>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</si>
  <si>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</si>
  <si>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</si>
  <si>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</si>
  <si>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</si>
  <si>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</si>
  <si>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</si>
  <si>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</si>
  <si>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</si>
  <si>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</si>
  <si>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</si>
  <si>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</si>
  <si>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</si>
  <si>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</si>
  <si>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</si>
  <si>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</si>
  <si>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</si>
  <si>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</si>
  <si>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</si>
  <si>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</si>
  <si>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</si>
  <si>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</si>
  <si>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</si>
  <si>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</si>
  <si>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</si>
  <si>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</si>
  <si>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</si>
  <si>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</si>
  <si>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</si>
  <si>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</si>
  <si>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</si>
  <si>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</si>
  <si>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</si>
  <si>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</si>
  <si>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</si>
  <si>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</si>
  <si>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</si>
  <si>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</si>
  <si>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</si>
  <si>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</si>
  <si>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</si>
  <si>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</si>
  <si>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</si>
  <si>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</si>
  <si>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</si>
  <si>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</si>
  <si>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</si>
  <si>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</si>
  <si>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</si>
  <si>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</si>
  <si>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</si>
  <si>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</si>
  <si>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</si>
  <si>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</si>
  <si>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</si>
  <si>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</si>
  <si>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</si>
  <si>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</si>
  <si>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</si>
  <si>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</si>
  <si>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</si>
  <si>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</si>
  <si>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</si>
  <si>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</si>
  <si>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</si>
  <si>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</si>
  <si>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</si>
  <si>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</si>
  <si>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</si>
  <si>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</si>
  <si>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</si>
  <si>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</si>
  <si>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</si>
  <si>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</si>
  <si>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</si>
  <si>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</si>
  <si>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</si>
  <si>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</si>
  <si>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</si>
  <si>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</si>
  <si>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</si>
  <si>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</si>
  <si>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</si>
  <si>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</si>
  <si>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</si>
  <si>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</si>
  <si>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</si>
  <si>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</si>
  <si>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</si>
  <si>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</si>
  <si>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</si>
  <si>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</si>
  <si>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</si>
  <si>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</si>
  <si>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</si>
  <si>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</si>
  <si>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</si>
  <si>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</si>
  <si>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</si>
  <si>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</si>
  <si>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</si>
  <si>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</si>
  <si>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</si>
  <si>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</si>
  <si>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</si>
  <si>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</si>
  <si>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</si>
  <si>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</si>
  <si>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</si>
  <si>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</si>
  <si>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</si>
  <si>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</si>
  <si>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</si>
  <si>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</si>
  <si>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</si>
  <si>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</si>
  <si>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</si>
  <si>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</si>
  <si>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</si>
  <si>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</si>
  <si>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</si>
  <si>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</si>
  <si>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</si>
  <si>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</si>
  <si>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</si>
  <si>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</si>
  <si>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</si>
  <si>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</si>
  <si>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</si>
  <si>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</si>
  <si>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</si>
  <si>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</si>
  <si>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</si>
  <si>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</si>
  <si>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</si>
  <si>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</si>
  <si>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</si>
  <si>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</si>
  <si>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</si>
  <si>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</si>
  <si>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</si>
  <si>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</si>
  <si>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</si>
  <si>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</si>
  <si>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</si>
  <si>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</si>
  <si>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</si>
  <si>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</si>
  <si>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</si>
  <si>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</si>
  <si>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</si>
  <si>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</si>
  <si>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</si>
  <si>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</si>
  <si>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</si>
  <si>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</si>
  <si>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</si>
  <si>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</si>
  <si>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</si>
  <si>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</si>
  <si>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</si>
  <si>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</si>
  <si>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</si>
  <si>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</si>
  <si>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</si>
  <si>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</si>
  <si>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</si>
  <si>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</si>
  <si>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</si>
  <si>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</si>
  <si>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</si>
  <si>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</si>
  <si>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</si>
  <si>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</si>
  <si>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</si>
  <si>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</si>
  <si>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</si>
  <si>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</si>
  <si>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</si>
  <si>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</si>
  <si>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</si>
  <si>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</si>
  <si>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</si>
  <si>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</si>
  <si>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</si>
  <si>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</si>
  <si>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</si>
  <si>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</si>
  <si>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</si>
  <si>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</si>
  <si>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</si>
  <si>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</si>
  <si>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</si>
  <si>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</si>
  <si>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</si>
  <si>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</si>
  <si>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</si>
  <si>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</si>
  <si>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</si>
  <si>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</si>
  <si>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</si>
  <si>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</si>
  <si>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</si>
  <si>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</si>
  <si>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</si>
  <si>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</si>
  <si>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</si>
  <si>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</si>
  <si>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</si>
  <si>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</si>
  <si>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</si>
  <si>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</si>
  <si>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</si>
  <si>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</si>
  <si>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</si>
  <si>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</si>
  <si>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</si>
  <si>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</si>
  <si>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</si>
  <si>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</si>
  <si>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</si>
  <si>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</si>
  <si>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</si>
  <si>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</si>
  <si>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</si>
  <si>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</si>
  <si>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</si>
  <si>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</si>
  <si>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</si>
  <si>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</si>
  <si>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</si>
  <si>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</si>
  <si>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</si>
  <si>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</si>
  <si>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</si>
  <si>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</si>
  <si>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</si>
  <si>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</si>
  <si>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</si>
  <si>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</si>
  <si>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</si>
  <si>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</si>
  <si>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</si>
  <si>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</si>
  <si>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</si>
  <si>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</si>
  <si>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</si>
  <si>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</si>
  <si>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</si>
  <si>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</si>
  <si>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</si>
  <si>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</si>
  <si>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</si>
  <si>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</si>
  <si>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</si>
  <si>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</si>
  <si>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</si>
  <si>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</si>
  <si>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</si>
  <si>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</si>
  <si>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</si>
  <si>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</si>
  <si>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</si>
  <si>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</si>
  <si>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</si>
  <si>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</si>
  <si>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</si>
  <si>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</si>
  <si>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</si>
  <si>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</si>
  <si>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</si>
  <si>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</si>
  <si>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</si>
  <si>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</si>
  <si>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</si>
  <si>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</si>
  <si>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</si>
  <si>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</si>
  <si>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</si>
  <si>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</si>
  <si>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</si>
  <si>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</si>
  <si>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</si>
  <si>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</si>
  <si>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</si>
  <si>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</si>
  <si>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</si>
  <si>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</si>
  <si>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</si>
  <si>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</si>
  <si>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</si>
  <si>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</si>
  <si>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</si>
  <si>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</si>
  <si>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</si>
  <si>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</si>
  <si>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</si>
  <si>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</si>
  <si>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</si>
  <si>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</si>
  <si>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</si>
  <si>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</si>
  <si>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</si>
  <si>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</si>
  <si>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</si>
  <si>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</si>
  <si>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</si>
  <si>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</si>
  <si>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</si>
  <si>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</si>
  <si>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</si>
  <si>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</si>
  <si>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</si>
  <si>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</si>
  <si>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</si>
  <si>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</si>
  <si>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</si>
  <si>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</si>
  <si>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</si>
  <si>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</si>
  <si>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</si>
  <si>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</si>
  <si>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</si>
  <si>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</si>
  <si>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</si>
  <si>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</si>
  <si>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</si>
  <si>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</si>
  <si>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</si>
  <si>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</si>
  <si>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</si>
  <si>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</si>
  <si>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</si>
  <si>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</si>
  <si>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</si>
  <si>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</si>
  <si>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</si>
  <si>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</si>
  <si>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</si>
  <si>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</si>
  <si>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</si>
  <si>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</si>
  <si>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</si>
  <si>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</si>
  <si>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</si>
  <si>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</si>
  <si>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</si>
  <si>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</si>
  <si>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</si>
  <si>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</si>
  <si>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</si>
  <si>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</si>
  <si>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</si>
  <si>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</si>
  <si>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</si>
  <si>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</si>
  <si>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</si>
  <si>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</si>
  <si>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</si>
  <si>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</si>
  <si>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</si>
  <si>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</si>
  <si>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</si>
  <si>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</si>
  <si>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</si>
  <si>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</si>
  <si>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</si>
  <si>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</si>
  <si>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</si>
  <si>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</si>
  <si>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</si>
  <si>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</si>
  <si>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</si>
  <si>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</si>
  <si>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</si>
  <si>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</si>
  <si>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</si>
  <si>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</si>
  <si>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</si>
  <si>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</si>
  <si>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</si>
  <si>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</si>
  <si>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</si>
  <si>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</si>
  <si>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</si>
  <si>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</si>
  <si>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</si>
  <si>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</si>
  <si>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</si>
  <si>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</si>
  <si>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</si>
  <si>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</si>
  <si>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</si>
  <si>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</si>
  <si>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</si>
  <si>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</si>
  <si>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</si>
  <si>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</si>
  <si>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</si>
  <si>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</si>
  <si>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</si>
  <si>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</si>
  <si>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</si>
  <si>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</si>
  <si>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</si>
  <si>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</si>
  <si>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</si>
  <si>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</si>
  <si>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</si>
  <si>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</si>
  <si>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</si>
  <si>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</si>
  <si>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</si>
  <si>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</si>
  <si>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</si>
  <si>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</si>
  <si>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</si>
  <si>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</si>
  <si>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</si>
  <si>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</si>
  <si>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</si>
  <si>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</si>
  <si>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</si>
  <si>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</si>
  <si>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</si>
  <si>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</si>
  <si>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</si>
  <si>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</si>
  <si>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</si>
  <si>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</si>
  <si>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</si>
  <si>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</si>
  <si>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</si>
  <si>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</si>
  <si>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</si>
  <si>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</si>
  <si>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</si>
  <si>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</si>
  <si>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</si>
  <si>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</si>
  <si>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</si>
  <si>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</si>
  <si>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</si>
  <si>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</si>
  <si>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</si>
  <si>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</si>
  <si>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</si>
  <si>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</si>
  <si>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</si>
  <si>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</si>
  <si>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</si>
  <si>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</si>
  <si>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</si>
  <si>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</si>
  <si>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</si>
  <si>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</si>
  <si>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</si>
  <si>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</si>
  <si>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</si>
  <si>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</si>
  <si>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</si>
  <si>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</si>
  <si>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</si>
  <si>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</si>
  <si>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</si>
  <si>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</si>
  <si>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</si>
  <si>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</si>
  <si>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</si>
  <si>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</si>
  <si>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</si>
  <si>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</si>
  <si>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</si>
  <si>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</si>
  <si>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</si>
  <si>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</si>
  <si>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</si>
  <si>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</si>
  <si>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</si>
  <si>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</si>
  <si>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</si>
  <si>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</si>
  <si>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</si>
  <si>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</si>
  <si>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</si>
  <si>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</si>
  <si>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</si>
  <si>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</si>
  <si>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</si>
  <si>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</si>
  <si>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</si>
  <si>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</si>
  <si>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</si>
  <si>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</si>
  <si>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</si>
  <si>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</si>
  <si>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</si>
  <si>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</si>
  <si>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</si>
  <si>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</si>
  <si>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</si>
  <si>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</si>
  <si>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</si>
  <si>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</si>
  <si>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</si>
  <si>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</si>
  <si>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</si>
  <si>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</si>
  <si>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</si>
  <si>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</si>
  <si>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</si>
  <si>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</si>
  <si>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</si>
  <si>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</si>
  <si>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</si>
  <si>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</si>
  <si>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</si>
  <si>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</si>
  <si>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</si>
  <si>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</si>
  <si>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</si>
  <si>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</si>
  <si>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</si>
  <si>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</si>
  <si>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</si>
  <si>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</si>
  <si>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</si>
  <si>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</si>
  <si>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</si>
  <si>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</si>
  <si>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</si>
  <si>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</si>
  <si>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</si>
  <si>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</si>
  <si>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</si>
  <si>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</si>
  <si>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</si>
  <si>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</si>
  <si>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</si>
  <si>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</si>
  <si>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</si>
  <si>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</si>
  <si>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</si>
  <si>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</si>
  <si>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</si>
  <si>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</si>
  <si>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</si>
  <si>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</si>
  <si>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</si>
  <si>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</si>
  <si>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</si>
  <si>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</si>
  <si>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</si>
  <si>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</si>
  <si>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</si>
  <si>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</si>
  <si>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</si>
  <si>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</si>
  <si>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</si>
  <si>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</si>
  <si>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</si>
  <si>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</si>
  <si>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</si>
  <si>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</si>
  <si>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</si>
  <si>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</si>
  <si>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</si>
  <si>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</si>
  <si>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</si>
  <si>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</si>
  <si>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</si>
  <si>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</si>
  <si>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</si>
  <si>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</si>
  <si>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</si>
  <si>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</si>
  <si>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</si>
  <si>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</si>
  <si>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</si>
  <si>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</si>
  <si>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</si>
  <si>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</si>
  <si>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</si>
  <si>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</si>
  <si>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</si>
  <si>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</si>
  <si>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</si>
  <si>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</si>
  <si>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</si>
  <si>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</si>
  <si>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</si>
  <si>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</si>
  <si>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</si>
  <si>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</si>
  <si>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</si>
  <si>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</si>
  <si>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</si>
  <si>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</si>
  <si>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</si>
  <si>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</si>
  <si>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</si>
  <si>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</si>
  <si>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</si>
  <si>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</si>
  <si>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</si>
  <si>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</si>
  <si>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</si>
  <si>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</si>
  <si>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</si>
  <si>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</si>
  <si>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</si>
  <si>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</si>
  <si>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</si>
  <si>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</si>
  <si>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</si>
  <si>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</si>
  <si>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</si>
  <si>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</si>
  <si>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</si>
  <si>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</si>
  <si>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</si>
  <si>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</si>
  <si>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</si>
  <si>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</si>
  <si>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</si>
  <si>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</si>
  <si>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</si>
  <si>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</si>
  <si>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</si>
  <si>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</si>
  <si>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</si>
  <si>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</si>
  <si>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</si>
  <si>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</si>
  <si>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</si>
  <si>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</si>
  <si>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</si>
  <si>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</si>
  <si>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</si>
  <si>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</si>
  <si>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</si>
  <si>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</si>
  <si>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</si>
  <si>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</si>
  <si>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</si>
  <si>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</si>
  <si>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</si>
  <si>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</si>
  <si>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</si>
  <si>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</si>
  <si>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</si>
  <si>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</si>
  <si>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</si>
  <si>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</si>
  <si>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</si>
  <si>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</si>
  <si>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</si>
  <si>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</si>
  <si>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</si>
  <si>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</si>
  <si>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</si>
  <si>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</si>
  <si>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</si>
  <si>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</si>
  <si>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</si>
  <si>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</si>
  <si>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</si>
  <si>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</si>
  <si>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</si>
  <si>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</si>
  <si>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</si>
  <si>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</si>
  <si>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</si>
  <si>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</si>
  <si>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</si>
  <si>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</si>
  <si>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</si>
  <si>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</si>
  <si>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</si>
  <si>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</si>
  <si>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</si>
  <si>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</si>
  <si>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</si>
  <si>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</si>
  <si>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</si>
  <si>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</si>
  <si>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</si>
  <si>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</si>
  <si>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</si>
  <si>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</si>
  <si>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</si>
  <si>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</si>
  <si>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</si>
  <si>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</si>
  <si>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</si>
  <si>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</si>
  <si>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</si>
  <si>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</si>
  <si>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</si>
  <si>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</si>
  <si>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</si>
  <si>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</si>
  <si>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</si>
  <si>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</si>
  <si>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</si>
  <si>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</si>
  <si>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</si>
  <si>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</si>
  <si>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</si>
  <si>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</si>
  <si>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</si>
  <si>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</si>
  <si>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</si>
  <si>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</si>
  <si>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</si>
  <si>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</si>
  <si>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</si>
  <si>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</si>
  <si>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</si>
  <si>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ТОДОРОВ АД</t>
  </si>
  <si>
    <t>неконсолидиран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</si>
  <si>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</si>
  <si>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</si>
  <si>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</si>
  <si>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</si>
  <si>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Ръководител: И.Тодоров</t>
  </si>
  <si>
    <t>Съставител: Н.Колев</t>
  </si>
  <si>
    <t xml:space="preserve">                                    Съставител: Николай Колев                        </t>
  </si>
  <si>
    <t>1. ДЗЗД "ФОНД ГАЛЕРИЯ ЗА БЪЛГАРСКИТЕ ТАЛАНТИ"</t>
  </si>
  <si>
    <t>1. ТОДОРОВ - АГРО ЕООД</t>
  </si>
  <si>
    <t>Дата на съставяне: 27.04.2016 г.</t>
  </si>
  <si>
    <t>Дата на съставяне: 27.04.2015 г.</t>
  </si>
  <si>
    <t>27.04.2016 г.</t>
  </si>
  <si>
    <t>01.01.2016-31.03.2016</t>
  </si>
  <si>
    <t>Дата  на съставяне: 27.04.2016 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</si>
</sst>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Times New Roman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" fontId="4" fillId="0" borderId="10" xfId="58" applyNumberFormat="1" applyFont="1" applyBorder="1" applyAlignment="1">
      <alignment horizontal="center" vertical="center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858</v>
      </c>
      <c r="F3" s="217" t="s">
        <v>2</v>
      </c>
      <c r="G3" s="172"/>
      <c r="H3" s="461">
        <v>130078447</v>
      </c>
    </row>
    <row r="4" spans="1:8" ht="15">
      <c r="A4" s="577" t="s">
        <v>3</v>
      </c>
      <c r="B4" s="583"/>
      <c r="C4" s="583"/>
      <c r="D4" s="583"/>
      <c r="E4" s="504" t="s">
        <v>859</v>
      </c>
      <c r="F4" s="579" t="s">
        <v>4</v>
      </c>
      <c r="G4" s="580"/>
      <c r="H4" s="461"/>
    </row>
    <row r="5" spans="1:8" ht="15">
      <c r="A5" s="577" t="s">
        <v>5</v>
      </c>
      <c r="B5" s="578"/>
      <c r="C5" s="578"/>
      <c r="D5" s="578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171</v>
      </c>
      <c r="D11" s="151">
        <v>171</v>
      </c>
      <c r="E11" s="237" t="s">
        <v>22</v>
      </c>
      <c r="F11" s="242" t="s">
        <v>23</v>
      </c>
      <c r="G11" s="152">
        <v>3400</v>
      </c>
      <c r="H11" s="152">
        <v>3400</v>
      </c>
    </row>
    <row r="12" spans="1:8" ht="15">
      <c r="A12" s="235" t="s">
        <v>24</v>
      </c>
      <c r="B12" s="241" t="s">
        <v>25</v>
      </c>
      <c r="C12" s="151">
        <v>744</v>
      </c>
      <c r="D12" s="151">
        <v>747</v>
      </c>
      <c r="E12" s="237" t="s">
        <v>26</v>
      </c>
      <c r="F12" s="242" t="s">
        <v>27</v>
      </c>
      <c r="G12" s="153">
        <v>3400</v>
      </c>
      <c r="H12" s="153">
        <v>3400</v>
      </c>
    </row>
    <row r="13" spans="1:8" ht="15">
      <c r="A13" s="235" t="s">
        <v>28</v>
      </c>
      <c r="B13" s="241" t="s">
        <v>29</v>
      </c>
      <c r="C13" s="151">
        <v>227</v>
      </c>
      <c r="D13" s="151">
        <v>239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92</v>
      </c>
      <c r="D14" s="151">
        <v>93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</v>
      </c>
      <c r="D15" s="151">
        <v>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25</v>
      </c>
      <c r="D16" s="151">
        <v>26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3400</v>
      </c>
      <c r="H17" s="154">
        <f>H11+H14+H15+H16</f>
        <v>3400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36</v>
      </c>
      <c r="D18" s="151">
        <v>36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1299</v>
      </c>
      <c r="D19" s="155">
        <f>SUM(D11:D18)</f>
        <v>1314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185</v>
      </c>
      <c r="D20" s="151">
        <v>185</v>
      </c>
      <c r="E20" s="237" t="s">
        <v>57</v>
      </c>
      <c r="F20" s="242" t="s">
        <v>58</v>
      </c>
      <c r="G20" s="158">
        <v>293</v>
      </c>
      <c r="H20" s="158">
        <v>293</v>
      </c>
    </row>
    <row r="21" spans="1:18" ht="15">
      <c r="A21" s="235" t="s">
        <v>59</v>
      </c>
      <c r="B21" s="250" t="s">
        <v>60</v>
      </c>
      <c r="C21" s="151">
        <v>173</v>
      </c>
      <c r="D21" s="151">
        <v>173</v>
      </c>
      <c r="E21" s="251" t="s">
        <v>61</v>
      </c>
      <c r="F21" s="242" t="s">
        <v>62</v>
      </c>
      <c r="G21" s="156">
        <f>SUM(G22:G24)</f>
        <v>498</v>
      </c>
      <c r="H21" s="156">
        <f>SUM(H22:H24)</f>
        <v>498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6</v>
      </c>
      <c r="D23" s="151">
        <v>6</v>
      </c>
      <c r="E23" s="253" t="s">
        <v>68</v>
      </c>
      <c r="F23" s="242" t="s">
        <v>69</v>
      </c>
      <c r="G23" s="152">
        <v>498</v>
      </c>
      <c r="H23" s="152">
        <v>498</v>
      </c>
      <c r="M23" s="157"/>
    </row>
    <row r="24" spans="1:8" ht="15">
      <c r="A24" s="235" t="s">
        <v>70</v>
      </c>
      <c r="B24" s="241" t="s">
        <v>71</v>
      </c>
      <c r="C24" s="151">
        <v>1</v>
      </c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791</v>
      </c>
      <c r="H25" s="154">
        <f>H19+H20+H21</f>
        <v>791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9</v>
      </c>
      <c r="D26" s="151">
        <v>11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16</v>
      </c>
      <c r="D27" s="155">
        <f>SUM(D23:D26)</f>
        <v>17</v>
      </c>
      <c r="E27" s="253" t="s">
        <v>83</v>
      </c>
      <c r="F27" s="242" t="s">
        <v>84</v>
      </c>
      <c r="G27" s="154">
        <f>SUM(G28:G30)</f>
        <v>-3053</v>
      </c>
      <c r="H27" s="154">
        <f>SUM(H28:H30)</f>
        <v>-2452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567</v>
      </c>
      <c r="H28" s="152">
        <v>567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-3620</v>
      </c>
      <c r="H29" s="316">
        <v>-3019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-156</v>
      </c>
      <c r="H32" s="316">
        <v>-601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-3209</v>
      </c>
      <c r="H33" s="154">
        <f>H27+H31+H32</f>
        <v>-3053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1127</v>
      </c>
      <c r="D34" s="155">
        <f>SUM(D35:D38)</f>
        <v>1127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1127</v>
      </c>
      <c r="D35" s="151">
        <v>1127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982</v>
      </c>
      <c r="H36" s="154">
        <f>H25+H17+H33</f>
        <v>1138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f>715</f>
        <v>715</v>
      </c>
      <c r="H44" s="152">
        <v>746</v>
      </c>
    </row>
    <row r="45" spans="1:15" ht="15">
      <c r="A45" s="235" t="s">
        <v>136</v>
      </c>
      <c r="B45" s="249" t="s">
        <v>137</v>
      </c>
      <c r="C45" s="155">
        <f>C34+C39+C44</f>
        <v>1127</v>
      </c>
      <c r="D45" s="155">
        <f>D34+D39+D44</f>
        <v>1127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172</v>
      </c>
      <c r="H46" s="152">
        <v>174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11</v>
      </c>
      <c r="H48" s="152">
        <v>11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898</v>
      </c>
      <c r="H49" s="154">
        <f>SUM(H43:H48)</f>
        <v>931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188</v>
      </c>
      <c r="D54" s="151">
        <v>188</v>
      </c>
      <c r="E54" s="237" t="s">
        <v>168</v>
      </c>
      <c r="F54" s="245" t="s">
        <v>169</v>
      </c>
      <c r="G54" s="152">
        <v>115</v>
      </c>
      <c r="H54" s="152">
        <v>116</v>
      </c>
    </row>
    <row r="55" spans="1:18" ht="25.5">
      <c r="A55" s="269" t="s">
        <v>170</v>
      </c>
      <c r="B55" s="270" t="s">
        <v>171</v>
      </c>
      <c r="C55" s="155">
        <f>C19+C20+C21+C27+C32+C45+C51+C53+C54</f>
        <v>2988</v>
      </c>
      <c r="D55" s="155">
        <f>D19+D20+D21+D27+D32+D45+D51+D53+D54</f>
        <v>3004</v>
      </c>
      <c r="E55" s="237" t="s">
        <v>172</v>
      </c>
      <c r="F55" s="261" t="s">
        <v>173</v>
      </c>
      <c r="G55" s="154">
        <f>G49+G51+G52+G53+G54</f>
        <v>1013</v>
      </c>
      <c r="H55" s="154">
        <f>H49+H51+H52+H53+H54</f>
        <v>1047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188</v>
      </c>
      <c r="D58" s="151">
        <v>184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189</v>
      </c>
      <c r="D59" s="151">
        <v>178</v>
      </c>
      <c r="E59" s="251" t="s">
        <v>181</v>
      </c>
      <c r="F59" s="242" t="s">
        <v>182</v>
      </c>
      <c r="G59" s="152">
        <f>195</f>
        <v>195</v>
      </c>
      <c r="H59" s="152">
        <v>154</v>
      </c>
      <c r="M59" s="157"/>
    </row>
    <row r="60" spans="1:8" ht="15">
      <c r="A60" s="235" t="s">
        <v>183</v>
      </c>
      <c r="B60" s="241" t="s">
        <v>184</v>
      </c>
      <c r="C60" s="151">
        <v>81</v>
      </c>
      <c r="D60" s="151">
        <v>82</v>
      </c>
      <c r="E60" s="237" t="s">
        <v>185</v>
      </c>
      <c r="F60" s="242" t="s">
        <v>186</v>
      </c>
      <c r="G60" s="152">
        <v>2</v>
      </c>
      <c r="H60" s="152"/>
    </row>
    <row r="61" spans="1:18" ht="15">
      <c r="A61" s="235" t="s">
        <v>187</v>
      </c>
      <c r="B61" s="244" t="s">
        <v>188</v>
      </c>
      <c r="C61" s="151">
        <v>331</v>
      </c>
      <c r="D61" s="151">
        <v>424</v>
      </c>
      <c r="E61" s="243" t="s">
        <v>189</v>
      </c>
      <c r="F61" s="272" t="s">
        <v>190</v>
      </c>
      <c r="G61" s="154">
        <f>SUM(G62:G68)</f>
        <v>1923</v>
      </c>
      <c r="H61" s="154">
        <f>SUM(H62:H68)</f>
        <v>1964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13+307+104</f>
        <v>424</v>
      </c>
      <c r="H62" s="152">
        <v>366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f>200+10+100+411</f>
        <v>721</v>
      </c>
      <c r="H63" s="152">
        <v>721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789</v>
      </c>
      <c r="D64" s="155">
        <f>SUM(D58:D63)</f>
        <v>868</v>
      </c>
      <c r="E64" s="237" t="s">
        <v>200</v>
      </c>
      <c r="F64" s="242" t="s">
        <v>201</v>
      </c>
      <c r="G64" s="152">
        <f>369+1+10+8</f>
        <v>388</v>
      </c>
      <c r="H64" s="152">
        <v>466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74</v>
      </c>
      <c r="H65" s="152">
        <v>133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47</v>
      </c>
      <c r="H66" s="152">
        <v>31</v>
      </c>
    </row>
    <row r="67" spans="1:8" ht="15">
      <c r="A67" s="235" t="s">
        <v>207</v>
      </c>
      <c r="B67" s="241" t="s">
        <v>208</v>
      </c>
      <c r="C67" s="151">
        <f>215-25</f>
        <v>190</v>
      </c>
      <c r="D67" s="151">
        <v>270</v>
      </c>
      <c r="E67" s="237" t="s">
        <v>209</v>
      </c>
      <c r="F67" s="242" t="s">
        <v>210</v>
      </c>
      <c r="G67" s="152">
        <f>43+18+21+10+12+5</f>
        <v>109</v>
      </c>
      <c r="H67" s="152">
        <v>103</v>
      </c>
    </row>
    <row r="68" spans="1:8" ht="15">
      <c r="A68" s="235" t="s">
        <v>211</v>
      </c>
      <c r="B68" s="241" t="s">
        <v>212</v>
      </c>
      <c r="C68" s="151">
        <f>80+1+10-1+1+1+8</f>
        <v>100</v>
      </c>
      <c r="D68" s="151">
        <v>117</v>
      </c>
      <c r="E68" s="237" t="s">
        <v>213</v>
      </c>
      <c r="F68" s="242" t="s">
        <v>214</v>
      </c>
      <c r="G68" s="152">
        <f>39+9+50+22+32+3+4+1</f>
        <v>160</v>
      </c>
      <c r="H68" s="152">
        <v>144</v>
      </c>
    </row>
    <row r="69" spans="1:8" ht="15">
      <c r="A69" s="235" t="s">
        <v>215</v>
      </c>
      <c r="B69" s="241" t="s">
        <v>216</v>
      </c>
      <c r="C69" s="151">
        <f>34+8</f>
        <v>42</v>
      </c>
      <c r="D69" s="151">
        <v>38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2120</v>
      </c>
      <c r="H71" s="161">
        <f>H59+H60+H61+H69+H70</f>
        <v>2118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332</v>
      </c>
      <c r="D75" s="155">
        <f>SUM(D67:D74)</f>
        <v>425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2</v>
      </c>
      <c r="H76" s="152">
        <v>2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2122</v>
      </c>
      <c r="H79" s="162">
        <f>H71+H74+H75+H76</f>
        <v>2120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</v>
      </c>
      <c r="D87" s="151">
        <v>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</v>
      </c>
      <c r="D91" s="155">
        <f>SUM(D87:D90)</f>
        <v>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</v>
      </c>
      <c r="D92" s="151">
        <v>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1129</v>
      </c>
      <c r="D93" s="155">
        <f>D64+D75+D84+D91+D92</f>
        <v>1301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4117</v>
      </c>
      <c r="D94" s="164">
        <f>D93+D55</f>
        <v>4305</v>
      </c>
      <c r="E94" s="449" t="s">
        <v>270</v>
      </c>
      <c r="F94" s="289" t="s">
        <v>271</v>
      </c>
      <c r="G94" s="165">
        <f>G36+G39+G55+G79</f>
        <v>4117</v>
      </c>
      <c r="H94" s="165">
        <f>H36+H39+H55+H79</f>
        <v>4305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1" t="s">
        <v>860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861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showGridLines="0" zoomScalePageLayoutView="0" workbookViewId="0" topLeftCell="A1">
      <selection activeCell="A1" sqref="A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ТОДОРОВ АД</v>
      </c>
      <c r="C2" s="586"/>
      <c r="D2" s="586"/>
      <c r="E2" s="586"/>
      <c r="F2" s="588" t="s">
        <v>2</v>
      </c>
      <c r="G2" s="588"/>
      <c r="H2" s="526">
        <f>'справка №1-БАЛАНС'!H3</f>
        <v>130078447</v>
      </c>
    </row>
    <row r="3" spans="1:8" ht="15">
      <c r="A3" s="467" t="s">
        <v>274</v>
      </c>
      <c r="B3" s="586" t="str">
        <f>'справка №1-БАЛАНС'!E4</f>
        <v>неконсолидиран</v>
      </c>
      <c r="C3" s="586"/>
      <c r="D3" s="586"/>
      <c r="E3" s="586"/>
      <c r="F3" s="546" t="s">
        <v>4</v>
      </c>
      <c r="G3" s="527"/>
      <c r="H3" s="527">
        <f>'справка №1-БАЛАНС'!H4</f>
        <v>0</v>
      </c>
    </row>
    <row r="4" spans="1:8" ht="17.25" customHeight="1">
      <c r="A4" s="467" t="s">
        <v>5</v>
      </c>
      <c r="B4" s="587" t="str">
        <f>'справка №1-БАЛАНС'!E5</f>
        <v>01.01.2016-31.03.2016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72</v>
      </c>
      <c r="D9" s="46">
        <v>38</v>
      </c>
      <c r="E9" s="298" t="s">
        <v>284</v>
      </c>
      <c r="F9" s="549" t="s">
        <v>285</v>
      </c>
      <c r="G9" s="550">
        <v>241</v>
      </c>
      <c r="H9" s="550">
        <v>185</v>
      </c>
    </row>
    <row r="10" spans="1:8" ht="12">
      <c r="A10" s="298" t="s">
        <v>286</v>
      </c>
      <c r="B10" s="299" t="s">
        <v>287</v>
      </c>
      <c r="C10" s="46">
        <v>60</v>
      </c>
      <c r="D10" s="46">
        <v>49</v>
      </c>
      <c r="E10" s="298" t="s">
        <v>288</v>
      </c>
      <c r="F10" s="549" t="s">
        <v>289</v>
      </c>
      <c r="G10" s="550">
        <v>1</v>
      </c>
      <c r="H10" s="550"/>
    </row>
    <row r="11" spans="1:8" ht="12">
      <c r="A11" s="298" t="s">
        <v>290</v>
      </c>
      <c r="B11" s="299" t="s">
        <v>291</v>
      </c>
      <c r="C11" s="46">
        <v>19</v>
      </c>
      <c r="D11" s="46">
        <v>25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115</v>
      </c>
      <c r="D12" s="46">
        <v>115</v>
      </c>
      <c r="E12" s="300" t="s">
        <v>78</v>
      </c>
      <c r="F12" s="549" t="s">
        <v>296</v>
      </c>
      <c r="G12" s="550">
        <v>4</v>
      </c>
      <c r="H12" s="550">
        <v>213</v>
      </c>
    </row>
    <row r="13" spans="1:18" ht="12">
      <c r="A13" s="298" t="s">
        <v>297</v>
      </c>
      <c r="B13" s="299" t="s">
        <v>298</v>
      </c>
      <c r="C13" s="46">
        <v>15</v>
      </c>
      <c r="D13" s="46">
        <v>14</v>
      </c>
      <c r="E13" s="301" t="s">
        <v>51</v>
      </c>
      <c r="F13" s="551" t="s">
        <v>299</v>
      </c>
      <c r="G13" s="548">
        <f>SUM(G9:G12)</f>
        <v>246</v>
      </c>
      <c r="H13" s="548">
        <f>SUM(H9:H12)</f>
        <v>398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</v>
      </c>
      <c r="D14" s="46">
        <v>208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78</v>
      </c>
      <c r="D15" s="47">
        <v>42</v>
      </c>
      <c r="E15" s="296" t="s">
        <v>304</v>
      </c>
      <c r="F15" s="554" t="s">
        <v>305</v>
      </c>
      <c r="G15" s="550">
        <v>1</v>
      </c>
      <c r="H15" s="550"/>
    </row>
    <row r="16" spans="1:8" ht="12">
      <c r="A16" s="298" t="s">
        <v>306</v>
      </c>
      <c r="B16" s="299" t="s">
        <v>307</v>
      </c>
      <c r="C16" s="47">
        <v>9</v>
      </c>
      <c r="D16" s="47">
        <v>9</v>
      </c>
      <c r="E16" s="298" t="s">
        <v>308</v>
      </c>
      <c r="F16" s="552" t="s">
        <v>309</v>
      </c>
      <c r="G16" s="555">
        <v>1</v>
      </c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369</v>
      </c>
      <c r="D19" s="49">
        <f>SUM(D9:D15)+D16</f>
        <v>500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33</v>
      </c>
      <c r="D22" s="46">
        <v>70</v>
      </c>
      <c r="E22" s="304" t="s">
        <v>325</v>
      </c>
      <c r="F22" s="552" t="s">
        <v>326</v>
      </c>
      <c r="G22" s="550"/>
      <c r="H22" s="550">
        <v>9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34</v>
      </c>
      <c r="D26" s="49">
        <f>SUM(D22:D25)</f>
        <v>70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403</v>
      </c>
      <c r="D28" s="50">
        <f>D26+D19</f>
        <v>570</v>
      </c>
      <c r="E28" s="127" t="s">
        <v>338</v>
      </c>
      <c r="F28" s="554" t="s">
        <v>339</v>
      </c>
      <c r="G28" s="548">
        <f>G13+G15+G24</f>
        <v>247</v>
      </c>
      <c r="H28" s="548">
        <f>H13+H15+H24</f>
        <v>407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156</v>
      </c>
      <c r="H30" s="53">
        <f>IF((D28-H28)&gt;0,D28-H28,0)</f>
        <v>163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403</v>
      </c>
      <c r="D33" s="49">
        <f>D28-D31+D32</f>
        <v>570</v>
      </c>
      <c r="E33" s="127" t="s">
        <v>352</v>
      </c>
      <c r="F33" s="554" t="s">
        <v>353</v>
      </c>
      <c r="G33" s="53">
        <f>G32-G31+G28</f>
        <v>247</v>
      </c>
      <c r="H33" s="53">
        <f>H32-H31+H28</f>
        <v>407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156</v>
      </c>
      <c r="H34" s="548">
        <f>IF((D33-H33)&gt;0,D33-H33,0)</f>
        <v>163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0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0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156</v>
      </c>
      <c r="H39" s="559">
        <f>IF(H34&gt;0,IF(D35+H34&lt;0,0,D35+H34),IF(D34-D35&lt;0,D35-D34,0))</f>
        <v>163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156</v>
      </c>
      <c r="H41" s="52">
        <f>IF(D39=0,IF(H39-H40&gt;0,H39-H40+D40,0),IF(D39-D40&lt;0,D40-D39+H40,0))</f>
        <v>163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403</v>
      </c>
      <c r="D42" s="53">
        <f>D33+D35+D39</f>
        <v>570</v>
      </c>
      <c r="E42" s="128" t="s">
        <v>379</v>
      </c>
      <c r="F42" s="129" t="s">
        <v>380</v>
      </c>
      <c r="G42" s="53">
        <f>G39+G33</f>
        <v>403</v>
      </c>
      <c r="H42" s="53">
        <f>H39+H33</f>
        <v>570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856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871</v>
      </c>
      <c r="C48" s="427" t="s">
        <v>381</v>
      </c>
      <c r="D48" s="584" t="s">
        <v>862</v>
      </c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5" t="s">
        <v>863</v>
      </c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968503937007874" right="0.03937007874015748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showGridLines="0" zoomScalePageLayoutView="0" workbookViewId="0" topLeftCell="A1">
      <selection activeCell="A1" sqref="A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ТОДОРОВ АД</v>
      </c>
      <c r="C4" s="541" t="s">
        <v>2</v>
      </c>
      <c r="D4" s="541">
        <f>'справка №1-БАЛАНС'!H3</f>
        <v>130078447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0</v>
      </c>
    </row>
    <row r="6" spans="1:6" ht="12" customHeight="1">
      <c r="A6" s="471" t="s">
        <v>5</v>
      </c>
      <c r="B6" s="506" t="str">
        <f>'справка №1-БАЛАНС'!E5</f>
        <v>01.01.2016-31.03.2016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445</v>
      </c>
      <c r="D10" s="54">
        <v>452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-328</v>
      </c>
      <c r="D11" s="54">
        <v>-300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-109</v>
      </c>
      <c r="D13" s="54">
        <v>-95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>
        <v>-13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-2</v>
      </c>
      <c r="D17" s="54">
        <v>-54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-3</v>
      </c>
      <c r="D19" s="54">
        <v>-3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3</v>
      </c>
      <c r="D20" s="55">
        <f>SUM(D10:D19)</f>
        <v>-13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-4</v>
      </c>
      <c r="D22" s="54">
        <v>-1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228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-4</v>
      </c>
      <c r="D32" s="55">
        <f>SUM(D22:D31)</f>
        <v>227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>
        <v>30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>
        <v>-266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-236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</v>
      </c>
      <c r="D43" s="55">
        <f>D42+D32+D20</f>
        <v>-22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6</v>
      </c>
      <c r="D44" s="132">
        <v>28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5</v>
      </c>
      <c r="D45" s="55">
        <f>D44+D43</f>
        <v>6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5</v>
      </c>
      <c r="D46" s="56">
        <v>6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860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861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5748031496062992" right="0.15748031496062992" top="1.1023622047244095" bottom="0.984251968503937" header="0.5118110236220472" footer="0.5118110236220472"/>
  <pageSetup horizontalDpi="600" verticalDpi="600" orientation="portrait" paperSize="9" scale="5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showGridLines="0" zoomScalePageLayoutView="0" workbookViewId="0" topLeftCell="A1">
      <selection activeCell="A1" sqref="A1:M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ТОДОРОВ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130078447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>
        <f>'справка №1-БАЛАНС'!H4</f>
        <v>0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01.01.2016-31.03.2016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3400</v>
      </c>
      <c r="D11" s="58">
        <f>'справка №1-БАЛАНС'!H19</f>
        <v>0</v>
      </c>
      <c r="E11" s="58">
        <f>'справка №1-БАЛАНС'!H20</f>
        <v>293</v>
      </c>
      <c r="F11" s="58">
        <f>'справка №1-БАЛАНС'!H22</f>
        <v>0</v>
      </c>
      <c r="G11" s="58">
        <f>'справка №1-БАЛАНС'!H23</f>
        <v>498</v>
      </c>
      <c r="H11" s="60"/>
      <c r="I11" s="58">
        <f>'справка №1-БАЛАНС'!H28+'справка №1-БАЛАНС'!H31</f>
        <v>567</v>
      </c>
      <c r="J11" s="58">
        <f>'справка №1-БАЛАНС'!H29+'справка №1-БАЛАНС'!H32</f>
        <v>-3620</v>
      </c>
      <c r="K11" s="60"/>
      <c r="L11" s="344">
        <f>SUM(C11:K11)</f>
        <v>1138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3400</v>
      </c>
      <c r="D15" s="61">
        <f aca="true" t="shared" si="2" ref="D15:M15">D11+D12</f>
        <v>0</v>
      </c>
      <c r="E15" s="61">
        <f t="shared" si="2"/>
        <v>293</v>
      </c>
      <c r="F15" s="61">
        <f t="shared" si="2"/>
        <v>0</v>
      </c>
      <c r="G15" s="61">
        <f t="shared" si="2"/>
        <v>498</v>
      </c>
      <c r="H15" s="61">
        <f t="shared" si="2"/>
        <v>0</v>
      </c>
      <c r="I15" s="61">
        <f t="shared" si="2"/>
        <v>567</v>
      </c>
      <c r="J15" s="61">
        <f t="shared" si="2"/>
        <v>-3620</v>
      </c>
      <c r="K15" s="61">
        <f t="shared" si="2"/>
        <v>0</v>
      </c>
      <c r="L15" s="344">
        <f t="shared" si="1"/>
        <v>1138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-156</v>
      </c>
      <c r="K16" s="60"/>
      <c r="L16" s="344">
        <f t="shared" si="1"/>
        <v>-156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3400</v>
      </c>
      <c r="D29" s="59">
        <f aca="true" t="shared" si="6" ref="D29:M29">D17+D20+D21+D24+D28+D27+D15+D16</f>
        <v>0</v>
      </c>
      <c r="E29" s="59">
        <f t="shared" si="6"/>
        <v>293</v>
      </c>
      <c r="F29" s="59">
        <f t="shared" si="6"/>
        <v>0</v>
      </c>
      <c r="G29" s="59">
        <f t="shared" si="6"/>
        <v>498</v>
      </c>
      <c r="H29" s="59">
        <f t="shared" si="6"/>
        <v>0</v>
      </c>
      <c r="I29" s="59">
        <f t="shared" si="6"/>
        <v>567</v>
      </c>
      <c r="J29" s="59">
        <f t="shared" si="6"/>
        <v>-3776</v>
      </c>
      <c r="K29" s="59">
        <f t="shared" si="6"/>
        <v>0</v>
      </c>
      <c r="L29" s="344">
        <f t="shared" si="1"/>
        <v>982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3400</v>
      </c>
      <c r="D32" s="59">
        <f t="shared" si="7"/>
        <v>0</v>
      </c>
      <c r="E32" s="59">
        <f t="shared" si="7"/>
        <v>293</v>
      </c>
      <c r="F32" s="59">
        <f t="shared" si="7"/>
        <v>0</v>
      </c>
      <c r="G32" s="59">
        <f t="shared" si="7"/>
        <v>498</v>
      </c>
      <c r="H32" s="59">
        <f t="shared" si="7"/>
        <v>0</v>
      </c>
      <c r="I32" s="59">
        <f t="shared" si="7"/>
        <v>567</v>
      </c>
      <c r="J32" s="59">
        <f t="shared" si="7"/>
        <v>-3776</v>
      </c>
      <c r="K32" s="59">
        <f t="shared" si="7"/>
        <v>0</v>
      </c>
      <c r="L32" s="344">
        <f t="shared" si="1"/>
        <v>982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857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873</v>
      </c>
      <c r="B38" s="19"/>
      <c r="C38" s="15"/>
      <c r="D38" s="592" t="s">
        <v>865</v>
      </c>
      <c r="E38" s="592"/>
      <c r="F38" s="592"/>
      <c r="G38" s="592"/>
      <c r="H38" s="592"/>
      <c r="I38" s="592"/>
      <c r="J38" s="15" t="s">
        <v>864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1" t="s">
        <v>383</v>
      </c>
      <c r="B2" s="602"/>
      <c r="C2" s="603" t="str">
        <f>'справка №1-БАЛАНС'!E3</f>
        <v>ТОДОРОВ АД</v>
      </c>
      <c r="D2" s="603"/>
      <c r="E2" s="603"/>
      <c r="F2" s="603"/>
      <c r="G2" s="603"/>
      <c r="H2" s="603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130078447</v>
      </c>
      <c r="P2" s="483"/>
      <c r="Q2" s="483"/>
      <c r="R2" s="526"/>
    </row>
    <row r="3" spans="1:18" ht="15">
      <c r="A3" s="601" t="s">
        <v>5</v>
      </c>
      <c r="B3" s="602"/>
      <c r="C3" s="604" t="str">
        <f>'справка №1-БАЛАНС'!E5</f>
        <v>01.01.2016-31.03.2016</v>
      </c>
      <c r="D3" s="604"/>
      <c r="E3" s="604"/>
      <c r="F3" s="485"/>
      <c r="G3" s="485"/>
      <c r="H3" s="485"/>
      <c r="I3" s="485"/>
      <c r="J3" s="485"/>
      <c r="K3" s="485"/>
      <c r="L3" s="485"/>
      <c r="M3" s="609" t="s">
        <v>4</v>
      </c>
      <c r="N3" s="609"/>
      <c r="O3" s="482">
        <f>'справка №1-БАЛАНС'!H4</f>
        <v>0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10" t="s">
        <v>463</v>
      </c>
      <c r="B5" s="611"/>
      <c r="C5" s="598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7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7" t="s">
        <v>528</v>
      </c>
      <c r="R5" s="607" t="s">
        <v>529</v>
      </c>
    </row>
    <row r="6" spans="1:18" s="100" customFormat="1" ht="48">
      <c r="A6" s="612"/>
      <c r="B6" s="613"/>
      <c r="C6" s="599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8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8"/>
      <c r="R6" s="608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171</v>
      </c>
      <c r="E9" s="189"/>
      <c r="F9" s="189"/>
      <c r="G9" s="74">
        <f>D9+E9-F9</f>
        <v>171</v>
      </c>
      <c r="H9" s="65"/>
      <c r="I9" s="65"/>
      <c r="J9" s="74">
        <f>G9+H9-I9</f>
        <v>171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171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856</v>
      </c>
      <c r="E10" s="189"/>
      <c r="F10" s="189"/>
      <c r="G10" s="74">
        <f aca="true" t="shared" si="2" ref="G10:G39">D10+E10-F10</f>
        <v>856</v>
      </c>
      <c r="H10" s="65"/>
      <c r="I10" s="65"/>
      <c r="J10" s="74">
        <f aca="true" t="shared" si="3" ref="J10:J39">G10+H10-I10</f>
        <v>856</v>
      </c>
      <c r="K10" s="65">
        <v>109</v>
      </c>
      <c r="L10" s="65">
        <v>3</v>
      </c>
      <c r="M10" s="65"/>
      <c r="N10" s="74">
        <f aca="true" t="shared" si="4" ref="N10:N39">K10+L10-M10</f>
        <v>112</v>
      </c>
      <c r="O10" s="65"/>
      <c r="P10" s="65"/>
      <c r="Q10" s="74">
        <f t="shared" si="0"/>
        <v>112</v>
      </c>
      <c r="R10" s="74">
        <f t="shared" si="1"/>
        <v>744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1022</v>
      </c>
      <c r="E11" s="189"/>
      <c r="F11" s="189"/>
      <c r="G11" s="74">
        <f t="shared" si="2"/>
        <v>1022</v>
      </c>
      <c r="H11" s="65"/>
      <c r="I11" s="65"/>
      <c r="J11" s="74">
        <f t="shared" si="3"/>
        <v>1022</v>
      </c>
      <c r="K11" s="65">
        <v>783</v>
      </c>
      <c r="L11" s="65">
        <v>12</v>
      </c>
      <c r="M11" s="65"/>
      <c r="N11" s="74">
        <f t="shared" si="4"/>
        <v>795</v>
      </c>
      <c r="O11" s="65"/>
      <c r="P11" s="65"/>
      <c r="Q11" s="74">
        <f t="shared" si="0"/>
        <v>795</v>
      </c>
      <c r="R11" s="74">
        <f t="shared" si="1"/>
        <v>227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134</v>
      </c>
      <c r="E12" s="189"/>
      <c r="F12" s="189"/>
      <c r="G12" s="74">
        <f t="shared" si="2"/>
        <v>134</v>
      </c>
      <c r="H12" s="65"/>
      <c r="I12" s="65"/>
      <c r="J12" s="74">
        <f t="shared" si="3"/>
        <v>134</v>
      </c>
      <c r="K12" s="65">
        <v>41</v>
      </c>
      <c r="L12" s="65">
        <v>1</v>
      </c>
      <c r="M12" s="65"/>
      <c r="N12" s="74">
        <f t="shared" si="4"/>
        <v>42</v>
      </c>
      <c r="O12" s="65"/>
      <c r="P12" s="65"/>
      <c r="Q12" s="74">
        <f t="shared" si="0"/>
        <v>42</v>
      </c>
      <c r="R12" s="74">
        <f t="shared" si="1"/>
        <v>92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269</v>
      </c>
      <c r="E13" s="189">
        <v>3</v>
      </c>
      <c r="F13" s="189"/>
      <c r="G13" s="74">
        <f t="shared" si="2"/>
        <v>272</v>
      </c>
      <c r="H13" s="65"/>
      <c r="I13" s="65"/>
      <c r="J13" s="74">
        <f t="shared" si="3"/>
        <v>272</v>
      </c>
      <c r="K13" s="65">
        <v>267</v>
      </c>
      <c r="L13" s="65">
        <v>1</v>
      </c>
      <c r="M13" s="65"/>
      <c r="N13" s="74">
        <f t="shared" si="4"/>
        <v>268</v>
      </c>
      <c r="O13" s="65"/>
      <c r="P13" s="65"/>
      <c r="Q13" s="74">
        <f t="shared" si="0"/>
        <v>268</v>
      </c>
      <c r="R13" s="74">
        <f t="shared" si="1"/>
        <v>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91</v>
      </c>
      <c r="E14" s="189"/>
      <c r="F14" s="189"/>
      <c r="G14" s="74">
        <f t="shared" si="2"/>
        <v>91</v>
      </c>
      <c r="H14" s="65"/>
      <c r="I14" s="65"/>
      <c r="J14" s="74">
        <f t="shared" si="3"/>
        <v>91</v>
      </c>
      <c r="K14" s="65">
        <v>65</v>
      </c>
      <c r="L14" s="65">
        <v>1</v>
      </c>
      <c r="M14" s="65"/>
      <c r="N14" s="74">
        <f t="shared" si="4"/>
        <v>66</v>
      </c>
      <c r="O14" s="65"/>
      <c r="P14" s="65"/>
      <c r="Q14" s="74">
        <f t="shared" si="0"/>
        <v>66</v>
      </c>
      <c r="R14" s="74">
        <f t="shared" si="1"/>
        <v>25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36</v>
      </c>
      <c r="E16" s="189"/>
      <c r="F16" s="189"/>
      <c r="G16" s="74">
        <f t="shared" si="2"/>
        <v>36</v>
      </c>
      <c r="H16" s="65"/>
      <c r="I16" s="65"/>
      <c r="J16" s="74">
        <f t="shared" si="3"/>
        <v>36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36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2579</v>
      </c>
      <c r="E17" s="194">
        <f>SUM(E9:E16)</f>
        <v>3</v>
      </c>
      <c r="F17" s="194">
        <f>SUM(F9:F16)</f>
        <v>0</v>
      </c>
      <c r="G17" s="74">
        <f t="shared" si="2"/>
        <v>2582</v>
      </c>
      <c r="H17" s="75">
        <f>SUM(H9:H16)</f>
        <v>0</v>
      </c>
      <c r="I17" s="75">
        <f>SUM(I9:I16)</f>
        <v>0</v>
      </c>
      <c r="J17" s="74">
        <f t="shared" si="3"/>
        <v>2582</v>
      </c>
      <c r="K17" s="75">
        <f>SUM(K9:K16)</f>
        <v>1265</v>
      </c>
      <c r="L17" s="75">
        <f>SUM(L9:L16)</f>
        <v>18</v>
      </c>
      <c r="M17" s="75">
        <f>SUM(M9:M16)</f>
        <v>0</v>
      </c>
      <c r="N17" s="74">
        <f t="shared" si="4"/>
        <v>1283</v>
      </c>
      <c r="O17" s="75">
        <f>SUM(O9:O16)</f>
        <v>0</v>
      </c>
      <c r="P17" s="75">
        <f>SUM(P9:P16)</f>
        <v>0</v>
      </c>
      <c r="Q17" s="74">
        <f t="shared" si="5"/>
        <v>1283</v>
      </c>
      <c r="R17" s="74">
        <f t="shared" si="6"/>
        <v>1299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185</v>
      </c>
      <c r="E18" s="187"/>
      <c r="F18" s="187"/>
      <c r="G18" s="74">
        <f t="shared" si="2"/>
        <v>185</v>
      </c>
      <c r="H18" s="63"/>
      <c r="I18" s="63"/>
      <c r="J18" s="74">
        <f t="shared" si="3"/>
        <v>185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185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>
        <v>173</v>
      </c>
      <c r="E19" s="187"/>
      <c r="F19" s="187"/>
      <c r="G19" s="74">
        <f t="shared" si="2"/>
        <v>173</v>
      </c>
      <c r="H19" s="63"/>
      <c r="I19" s="63"/>
      <c r="J19" s="74">
        <f t="shared" si="3"/>
        <v>173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173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44</v>
      </c>
      <c r="E21" s="189"/>
      <c r="F21" s="189"/>
      <c r="G21" s="74">
        <f t="shared" si="2"/>
        <v>44</v>
      </c>
      <c r="H21" s="65"/>
      <c r="I21" s="65"/>
      <c r="J21" s="74">
        <f t="shared" si="3"/>
        <v>44</v>
      </c>
      <c r="K21" s="65">
        <v>38</v>
      </c>
      <c r="L21" s="65"/>
      <c r="M21" s="65"/>
      <c r="N21" s="74">
        <f t="shared" si="4"/>
        <v>38</v>
      </c>
      <c r="O21" s="65"/>
      <c r="P21" s="65"/>
      <c r="Q21" s="74">
        <f t="shared" si="5"/>
        <v>38</v>
      </c>
      <c r="R21" s="74">
        <f t="shared" si="6"/>
        <v>6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18</v>
      </c>
      <c r="E22" s="189">
        <v>2</v>
      </c>
      <c r="F22" s="189"/>
      <c r="G22" s="74">
        <f t="shared" si="2"/>
        <v>20</v>
      </c>
      <c r="H22" s="65"/>
      <c r="I22" s="65"/>
      <c r="J22" s="74">
        <f t="shared" si="3"/>
        <v>20</v>
      </c>
      <c r="K22" s="65">
        <v>18</v>
      </c>
      <c r="L22" s="65">
        <v>1</v>
      </c>
      <c r="M22" s="65"/>
      <c r="N22" s="74">
        <f t="shared" si="4"/>
        <v>19</v>
      </c>
      <c r="O22" s="65"/>
      <c r="P22" s="65"/>
      <c r="Q22" s="74">
        <f t="shared" si="5"/>
        <v>19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33</v>
      </c>
      <c r="E24" s="189">
        <v>1</v>
      </c>
      <c r="F24" s="189">
        <v>3</v>
      </c>
      <c r="G24" s="74">
        <f t="shared" si="2"/>
        <v>31</v>
      </c>
      <c r="H24" s="65"/>
      <c r="I24" s="65"/>
      <c r="J24" s="74">
        <f t="shared" si="3"/>
        <v>31</v>
      </c>
      <c r="K24" s="65">
        <v>22</v>
      </c>
      <c r="L24" s="65"/>
      <c r="M24" s="65"/>
      <c r="N24" s="74">
        <f t="shared" si="4"/>
        <v>22</v>
      </c>
      <c r="O24" s="65"/>
      <c r="P24" s="65"/>
      <c r="Q24" s="74">
        <f t="shared" si="5"/>
        <v>22</v>
      </c>
      <c r="R24" s="74">
        <f t="shared" si="6"/>
        <v>9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95</v>
      </c>
      <c r="E25" s="190">
        <f aca="true" t="shared" si="7" ref="E25:P25">SUM(E21:E24)</f>
        <v>3</v>
      </c>
      <c r="F25" s="190">
        <f t="shared" si="7"/>
        <v>3</v>
      </c>
      <c r="G25" s="67">
        <f t="shared" si="2"/>
        <v>95</v>
      </c>
      <c r="H25" s="66">
        <f t="shared" si="7"/>
        <v>0</v>
      </c>
      <c r="I25" s="66">
        <f t="shared" si="7"/>
        <v>0</v>
      </c>
      <c r="J25" s="67">
        <f t="shared" si="3"/>
        <v>95</v>
      </c>
      <c r="K25" s="66">
        <f t="shared" si="7"/>
        <v>78</v>
      </c>
      <c r="L25" s="66">
        <f t="shared" si="7"/>
        <v>1</v>
      </c>
      <c r="M25" s="66">
        <f t="shared" si="7"/>
        <v>0</v>
      </c>
      <c r="N25" s="67">
        <f t="shared" si="4"/>
        <v>79</v>
      </c>
      <c r="O25" s="66">
        <f t="shared" si="7"/>
        <v>0</v>
      </c>
      <c r="P25" s="66">
        <f t="shared" si="7"/>
        <v>0</v>
      </c>
      <c r="Q25" s="67">
        <f t="shared" si="5"/>
        <v>79</v>
      </c>
      <c r="R25" s="67">
        <f t="shared" si="6"/>
        <v>16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1127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1127</v>
      </c>
      <c r="H27" s="70">
        <f t="shared" si="8"/>
        <v>0</v>
      </c>
      <c r="I27" s="70">
        <f t="shared" si="8"/>
        <v>0</v>
      </c>
      <c r="J27" s="71">
        <f t="shared" si="3"/>
        <v>1127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1127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1127</v>
      </c>
      <c r="E28" s="189"/>
      <c r="F28" s="189"/>
      <c r="G28" s="74">
        <f t="shared" si="2"/>
        <v>1127</v>
      </c>
      <c r="H28" s="65"/>
      <c r="I28" s="65"/>
      <c r="J28" s="74">
        <f t="shared" si="3"/>
        <v>1127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1127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1127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1127</v>
      </c>
      <c r="H38" s="75">
        <f t="shared" si="12"/>
        <v>0</v>
      </c>
      <c r="I38" s="75">
        <f t="shared" si="12"/>
        <v>0</v>
      </c>
      <c r="J38" s="74">
        <f t="shared" si="3"/>
        <v>1127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1127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4159</v>
      </c>
      <c r="E40" s="438">
        <f>E17+E18+E19+E25+E38+E39</f>
        <v>6</v>
      </c>
      <c r="F40" s="438">
        <f aca="true" t="shared" si="13" ref="F40:R40">F17+F18+F19+F25+F38+F39</f>
        <v>3</v>
      </c>
      <c r="G40" s="438">
        <f t="shared" si="13"/>
        <v>4162</v>
      </c>
      <c r="H40" s="438">
        <f t="shared" si="13"/>
        <v>0</v>
      </c>
      <c r="I40" s="438">
        <f t="shared" si="13"/>
        <v>0</v>
      </c>
      <c r="J40" s="438">
        <f t="shared" si="13"/>
        <v>4162</v>
      </c>
      <c r="K40" s="438">
        <f t="shared" si="13"/>
        <v>1343</v>
      </c>
      <c r="L40" s="438">
        <f t="shared" si="13"/>
        <v>19</v>
      </c>
      <c r="M40" s="438">
        <f t="shared" si="13"/>
        <v>0</v>
      </c>
      <c r="N40" s="438">
        <f t="shared" si="13"/>
        <v>1362</v>
      </c>
      <c r="O40" s="438">
        <f t="shared" si="13"/>
        <v>0</v>
      </c>
      <c r="P40" s="438">
        <f t="shared" si="13"/>
        <v>0</v>
      </c>
      <c r="Q40" s="438">
        <f t="shared" si="13"/>
        <v>1362</v>
      </c>
      <c r="R40" s="438">
        <f t="shared" si="13"/>
        <v>2800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0"/>
      <c r="L44" s="600"/>
      <c r="M44" s="600"/>
      <c r="N44" s="600"/>
      <c r="O44" s="605" t="s">
        <v>861</v>
      </c>
      <c r="P44" s="606"/>
      <c r="Q44" s="606"/>
      <c r="R44" s="60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showGridLines="0" zoomScalePageLayoutView="0" workbookViewId="0" topLeftCell="A1">
      <selection activeCell="A1" sqref="A1:E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ТОДОРОВ АД</v>
      </c>
      <c r="C3" s="621"/>
      <c r="D3" s="526" t="s">
        <v>2</v>
      </c>
      <c r="E3" s="107">
        <f>'справка №1-БАЛАНС'!H3</f>
        <v>130078447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01.01.2016-31.03.2016</v>
      </c>
      <c r="C4" s="619"/>
      <c r="D4" s="527" t="s">
        <v>4</v>
      </c>
      <c r="E4" s="107">
        <f>'справка №1-БАЛАНС'!H4</f>
        <v>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188</v>
      </c>
      <c r="D21" s="108"/>
      <c r="E21" s="120">
        <f t="shared" si="0"/>
        <v>188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190</v>
      </c>
      <c r="D24" s="119">
        <f>SUM(D25:D27)</f>
        <v>190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190</v>
      </c>
      <c r="D27" s="108">
        <v>190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100</v>
      </c>
      <c r="D28" s="108">
        <v>100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42</v>
      </c>
      <c r="D29" s="108">
        <v>42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332</v>
      </c>
      <c r="D43" s="104">
        <f>D24+D28+D29+D31+D30+D32+D33+D38</f>
        <v>332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520</v>
      </c>
      <c r="D44" s="103">
        <f>D43+D21+D19+D9</f>
        <v>332</v>
      </c>
      <c r="E44" s="118">
        <f>E43+E21+E19+E9</f>
        <v>188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715</v>
      </c>
      <c r="D56" s="103">
        <f>D57+D59</f>
        <v>0</v>
      </c>
      <c r="E56" s="119">
        <f t="shared" si="1"/>
        <v>715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715</v>
      </c>
      <c r="D57" s="108"/>
      <c r="E57" s="119">
        <f t="shared" si="1"/>
        <v>715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>
        <v>172</v>
      </c>
      <c r="D62" s="108"/>
      <c r="E62" s="119">
        <f t="shared" si="1"/>
        <v>172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11</v>
      </c>
      <c r="D64" s="108"/>
      <c r="E64" s="119">
        <f t="shared" si="1"/>
        <v>11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898</v>
      </c>
      <c r="D66" s="103">
        <f>D52+D56+D61+D62+D63+D64</f>
        <v>0</v>
      </c>
      <c r="E66" s="119">
        <f t="shared" si="1"/>
        <v>898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424</v>
      </c>
      <c r="D71" s="105">
        <f>SUM(D72:D74)</f>
        <v>424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13</v>
      </c>
      <c r="D72" s="108">
        <v>13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411</v>
      </c>
      <c r="D74" s="108">
        <v>411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195</v>
      </c>
      <c r="D75" s="103">
        <f>D76+D78</f>
        <v>195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195</v>
      </c>
      <c r="D76" s="108">
        <v>195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>
        <v>195</v>
      </c>
      <c r="D77" s="109">
        <v>195</v>
      </c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2</v>
      </c>
      <c r="D80" s="103">
        <f>SUM(D81:D84)</f>
        <v>2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>
        <v>2</v>
      </c>
      <c r="D83" s="108">
        <v>2</v>
      </c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1499</v>
      </c>
      <c r="D85" s="104">
        <f>SUM(D86:D90)+D94</f>
        <v>1499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v>721</v>
      </c>
      <c r="D86" s="108">
        <v>721</v>
      </c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388</v>
      </c>
      <c r="D87" s="108">
        <v>388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74</v>
      </c>
      <c r="D88" s="108">
        <v>74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47</v>
      </c>
      <c r="D89" s="108">
        <v>47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160</v>
      </c>
      <c r="D90" s="103">
        <f>SUM(D91:D93)</f>
        <v>160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72</v>
      </c>
      <c r="D92" s="108">
        <v>72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88</v>
      </c>
      <c r="D93" s="108">
        <v>88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109</v>
      </c>
      <c r="D94" s="108">
        <v>109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/>
      <c r="D95" s="108"/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2120</v>
      </c>
      <c r="D96" s="104">
        <f>D85+D80+D75+D71+D95</f>
        <v>2120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3018</v>
      </c>
      <c r="D97" s="104">
        <f>D96+D68+D66</f>
        <v>2120</v>
      </c>
      <c r="E97" s="104">
        <f>E96+E68+E66</f>
        <v>898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869</v>
      </c>
      <c r="B109" s="615"/>
      <c r="C109" s="615" t="s">
        <v>860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861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ТОДОРОВ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130078447</v>
      </c>
    </row>
    <row r="5" spans="1:9" ht="15">
      <c r="A5" s="501" t="s">
        <v>5</v>
      </c>
      <c r="B5" s="623" t="str">
        <f>'справка №1-БАЛАНС'!E5</f>
        <v>01.01.2016-31.03.2016</v>
      </c>
      <c r="C5" s="623"/>
      <c r="D5" s="623"/>
      <c r="E5" s="623"/>
      <c r="F5" s="623"/>
      <c r="G5" s="626" t="s">
        <v>4</v>
      </c>
      <c r="H5" s="627"/>
      <c r="I5" s="500">
        <f>'справка №1-БАЛАНС'!H4</f>
        <v>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870</v>
      </c>
      <c r="B30" s="625"/>
      <c r="C30" s="625"/>
      <c r="D30" s="459" t="s">
        <v>817</v>
      </c>
      <c r="E30" s="624"/>
      <c r="F30" s="624"/>
      <c r="G30" s="624"/>
      <c r="H30" s="420" t="s">
        <v>779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862</v>
      </c>
      <c r="F31" s="523"/>
      <c r="G31" s="523"/>
      <c r="H31" s="523"/>
      <c r="I31" s="523" t="s">
        <v>863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ТОДОРОВ АД</v>
      </c>
      <c r="C5" s="629"/>
      <c r="D5" s="629"/>
      <c r="E5" s="570" t="s">
        <v>2</v>
      </c>
      <c r="F5" s="451">
        <f>'справка №1-БАЛАНС'!H3</f>
        <v>130078447</v>
      </c>
    </row>
    <row r="6" spans="1:13" ht="15" customHeight="1">
      <c r="A6" s="27" t="s">
        <v>820</v>
      </c>
      <c r="B6" s="630" t="str">
        <f>'справка №1-БАЛАНС'!E5</f>
        <v>01.01.2016-31.03.2016</v>
      </c>
      <c r="C6" s="630"/>
      <c r="D6" s="510"/>
      <c r="E6" s="569" t="s">
        <v>4</v>
      </c>
      <c r="F6" s="511">
        <f>'справка №1-БАЛАНС'!H4</f>
        <v>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868</v>
      </c>
      <c r="B12" s="37"/>
      <c r="C12" s="441">
        <v>1127</v>
      </c>
      <c r="D12" s="441">
        <v>100</v>
      </c>
      <c r="E12" s="441"/>
      <c r="F12" s="443">
        <f>C12-E12</f>
        <v>1127</v>
      </c>
    </row>
    <row r="13" spans="1:6" ht="12.75">
      <c r="A13" s="36">
        <v>2</v>
      </c>
      <c r="B13" s="37"/>
      <c r="C13" s="441"/>
      <c r="D13" s="441"/>
      <c r="E13" s="441"/>
      <c r="F13" s="443">
        <f>C13-E13</f>
        <v>0</v>
      </c>
    </row>
    <row r="14" spans="1:6" ht="12.75">
      <c r="A14" s="36">
        <v>3</v>
      </c>
      <c r="B14" s="37"/>
      <c r="C14" s="441"/>
      <c r="D14" s="441"/>
      <c r="E14" s="441"/>
      <c r="F14" s="443"/>
    </row>
    <row r="15" spans="1:6" ht="12.75">
      <c r="A15" s="36" t="s">
        <v>551</v>
      </c>
      <c r="B15" s="37"/>
      <c r="C15" s="441"/>
      <c r="D15" s="441"/>
      <c r="E15" s="441"/>
      <c r="F15" s="443">
        <f aca="true" t="shared" si="0" ref="F15:F26">C15-E15</f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1127</v>
      </c>
      <c r="D27" s="429"/>
      <c r="E27" s="429">
        <f>SUM(E12:E26)</f>
        <v>0</v>
      </c>
      <c r="F27" s="442">
        <f>SUM(F12:F26)</f>
        <v>1127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25.5">
      <c r="A29" s="36" t="s">
        <v>867</v>
      </c>
      <c r="B29" s="40"/>
      <c r="C29" s="441"/>
      <c r="D29" s="441">
        <v>34</v>
      </c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576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>
        <v>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1127</v>
      </c>
      <c r="D79" s="429"/>
      <c r="E79" s="429">
        <f>E78+E61+E44+E27</f>
        <v>0</v>
      </c>
      <c r="F79" s="442">
        <f>F78+F61+F44+F27</f>
        <v>1127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576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31" t="s">
        <v>860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861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A64:A66 A133:A136 A116:A119 A99:A102 A82:A85 A47:A49 A30:A32 A15" numberStoredAsText="1"/>
    <ignoredError sqref="B5:D6 F5: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Nikolay Kolev</cp:lastModifiedBy>
  <cp:lastPrinted>2016-04-28T08:23:42Z</cp:lastPrinted>
  <dcterms:created xsi:type="dcterms:W3CDTF">2000-06-29T12:02:40Z</dcterms:created>
  <dcterms:modified xsi:type="dcterms:W3CDTF">2016-04-28T11:41:00Z</dcterms:modified>
  <cp:category/>
  <cp:version/>
  <cp:contentType/>
  <cp:contentStatus/>
</cp:coreProperties>
</file>