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<sst xmlns="http://schemas.openxmlformats.org/spreadsheetml/2006/main" count="1065" uniqueCount="869">
  <si>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</si>
  <si>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</si>
  <si>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</si>
  <si>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</si>
  <si>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</si>
  <si>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</si>
  <si>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</si>
  <si>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</si>
  <si>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</si>
  <si>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</si>
  <si>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</si>
  <si>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</si>
  <si>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</si>
  <si>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</si>
  <si>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</si>
  <si>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</si>
  <si>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</si>
  <si>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</si>
  <si>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</si>
  <si>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</si>
  <si>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</si>
  <si>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</si>
  <si>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</si>
  <si>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</si>
  <si>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</si>
  <si>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</si>
  <si>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</si>
  <si>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</si>
  <si>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</si>
  <si>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</si>
  <si>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</si>
  <si>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</si>
  <si>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</si>
  <si>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</si>
  <si>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</si>
  <si>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</si>
  <si>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</si>
  <si>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</si>
  <si>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</si>
  <si>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</si>
  <si>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</si>
  <si>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</si>
  <si>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</si>
  <si>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</si>
  <si>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</si>
  <si>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</si>
  <si>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</si>
  <si>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</si>
  <si>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</si>
  <si>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</si>
  <si>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</si>
  <si>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</si>
  <si>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</si>
  <si>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</si>
  <si>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</si>
  <si>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</si>
  <si>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</si>
  <si>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</si>
  <si>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</si>
  <si>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</si>
  <si>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</si>
  <si>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</si>
  <si>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</si>
  <si>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</si>
  <si>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</si>
  <si>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</si>
  <si>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</si>
  <si>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</si>
  <si>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</si>
  <si>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</si>
  <si>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</si>
  <si>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</si>
  <si>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</si>
  <si>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</si>
  <si>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</si>
  <si>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</si>
  <si>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</si>
  <si>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</si>
  <si>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</si>
  <si>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</si>
  <si>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</si>
  <si>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</si>
  <si>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</si>
  <si>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</si>
  <si>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</si>
  <si>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</si>
  <si>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</si>
  <si>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</si>
  <si>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</si>
  <si>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</si>
  <si>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</si>
  <si>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</si>
  <si>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</si>
  <si>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</si>
  <si>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</si>
  <si>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</si>
  <si>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</si>
  <si>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</si>
  <si>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</si>
  <si>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</si>
  <si>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</si>
  <si>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</si>
  <si>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</si>
  <si>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</si>
  <si>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</si>
  <si>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</si>
  <si>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</si>
  <si>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</si>
  <si>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</si>
  <si>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</si>
  <si>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</si>
  <si>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</si>
  <si>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</si>
  <si>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</si>
  <si>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</si>
  <si>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</si>
  <si>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</si>
  <si>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</si>
  <si>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</si>
  <si>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</si>
  <si>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</si>
  <si>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</si>
  <si>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</si>
  <si>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</si>
  <si>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</si>
  <si>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</si>
  <si>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</si>
  <si>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</si>
  <si>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</si>
  <si>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</si>
  <si>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</si>
  <si>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</si>
  <si>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</si>
  <si>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</si>
  <si>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</si>
  <si>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</si>
  <si>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</si>
  <si>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</si>
  <si>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</si>
  <si>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</si>
  <si>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</si>
  <si>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</si>
  <si>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</si>
  <si>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</si>
  <si>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</si>
  <si>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</si>
  <si>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</si>
  <si>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</si>
  <si>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</si>
  <si>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</si>
  <si>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</si>
  <si>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</si>
  <si>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</si>
  <si>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</si>
  <si>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</si>
  <si>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</si>
  <si>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</si>
  <si>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</si>
  <si>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</si>
  <si>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</si>
  <si>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</si>
  <si>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</si>
  <si>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</si>
  <si>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</si>
  <si>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</si>
  <si>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</si>
  <si>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</si>
  <si>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</si>
  <si>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</si>
  <si>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</si>
  <si>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</si>
  <si>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</si>
  <si>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</si>
  <si>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</si>
  <si>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</si>
  <si>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</si>
  <si>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</si>
  <si>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</si>
  <si>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</si>
  <si>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</si>
  <si>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</si>
  <si>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</si>
  <si>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</si>
  <si>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</si>
  <si>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</si>
  <si>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</si>
  <si>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</si>
  <si>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</si>
  <si>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</si>
  <si>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</si>
  <si>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</si>
  <si>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</si>
  <si>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</si>
  <si>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</si>
  <si>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</si>
  <si>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</si>
  <si>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</si>
  <si>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</si>
  <si>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</si>
  <si>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</si>
  <si>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</si>
  <si>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</si>
  <si>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</si>
  <si>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</si>
  <si>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</si>
  <si>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</si>
  <si>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</si>
  <si>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</si>
  <si>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</si>
  <si>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</si>
  <si>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</si>
  <si>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</si>
  <si>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</si>
  <si>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</si>
  <si>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</si>
  <si>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</si>
  <si>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</si>
  <si>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</si>
  <si>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</si>
  <si>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</si>
  <si>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</si>
  <si>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</si>
  <si>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</si>
  <si>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</si>
  <si>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</si>
  <si>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</si>
  <si>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</si>
  <si>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</si>
  <si>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</si>
  <si>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</si>
  <si>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</si>
  <si>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</si>
  <si>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</si>
  <si>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</si>
  <si>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</si>
  <si>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</si>
  <si>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</si>
  <si>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</si>
  <si>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</si>
  <si>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</si>
  <si>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</si>
  <si>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</si>
  <si>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</si>
  <si>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</si>
  <si>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</si>
  <si>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</si>
  <si>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</si>
  <si>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</si>
  <si>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</si>
  <si>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</si>
  <si>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</si>
  <si>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</si>
  <si>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</si>
  <si>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</si>
  <si>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</si>
  <si>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</si>
  <si>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</si>
  <si>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</si>
  <si>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</si>
  <si>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</si>
  <si>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</si>
  <si>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</si>
  <si>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</si>
  <si>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</si>
  <si>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</si>
  <si>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</si>
  <si>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</si>
  <si>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</si>
  <si>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</si>
  <si>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</si>
  <si>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</si>
  <si>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</si>
  <si>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</si>
  <si>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</si>
  <si>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</si>
  <si>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</si>
  <si>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</si>
  <si>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</si>
  <si>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</si>
  <si>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</si>
  <si>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</si>
  <si>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</si>
  <si>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</si>
  <si>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</si>
  <si>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</si>
  <si>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</si>
  <si>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</si>
  <si>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</si>
  <si>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</si>
  <si>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</si>
  <si>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</si>
  <si>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</si>
  <si>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</si>
  <si>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</si>
  <si>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</si>
  <si>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</si>
  <si>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</si>
  <si>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</si>
  <si>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</si>
  <si>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</si>
  <si>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</si>
  <si>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</si>
  <si>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</si>
  <si>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</si>
  <si>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</si>
  <si>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</si>
  <si>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</si>
  <si>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</si>
  <si>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</si>
  <si>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</si>
  <si>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</si>
  <si>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</si>
  <si>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</si>
  <si>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</si>
  <si>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</si>
  <si>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</si>
  <si>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</si>
  <si>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</si>
  <si>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</si>
  <si>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</si>
  <si>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</si>
  <si>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</si>
  <si>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</si>
  <si>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</si>
  <si>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</si>
  <si>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</si>
  <si>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</si>
  <si>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</si>
  <si>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</si>
  <si>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</si>
  <si>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</si>
  <si>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</si>
  <si>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</si>
  <si>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</si>
  <si>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</si>
  <si>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</si>
  <si>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</si>
  <si>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</si>
  <si>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</si>
  <si>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</si>
  <si>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</si>
  <si>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</si>
  <si>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</si>
  <si>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</si>
  <si>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</si>
  <si>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</si>
  <si>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</si>
  <si>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</si>
  <si>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</si>
  <si>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</si>
  <si>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</si>
  <si>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</si>
  <si>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</si>
  <si>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</si>
  <si>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</si>
  <si>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</si>
  <si>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</si>
  <si>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</si>
  <si>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</si>
  <si>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</si>
  <si>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</si>
  <si>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</si>
  <si>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</si>
  <si>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</si>
  <si>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</si>
  <si>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</si>
  <si>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</si>
  <si>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</si>
  <si>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</si>
  <si>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</si>
  <si>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</si>
  <si>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</si>
  <si>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</si>
  <si>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</si>
  <si>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</si>
  <si>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</si>
  <si>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</si>
  <si>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</si>
  <si>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</si>
  <si>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</si>
  <si>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</si>
  <si>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</si>
  <si>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</si>
  <si>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</si>
  <si>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</si>
  <si>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</si>
  <si>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</si>
  <si>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</si>
  <si>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</si>
  <si>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</si>
  <si>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</si>
  <si>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</si>
  <si>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</si>
  <si>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</si>
  <si>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</si>
  <si>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</si>
  <si>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</si>
  <si>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</si>
  <si>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</si>
  <si>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</si>
  <si>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</si>
  <si>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</si>
  <si>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</si>
  <si>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</si>
  <si>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</si>
  <si>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</si>
  <si>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</si>
  <si>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</si>
  <si>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</si>
  <si>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</si>
  <si>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</si>
  <si>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</si>
  <si>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</si>
  <si>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</si>
  <si>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</si>
  <si>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</si>
  <si>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</si>
  <si>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</si>
  <si>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</si>
  <si>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</si>
  <si>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</si>
  <si>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</si>
  <si>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</si>
  <si>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</si>
  <si>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</si>
  <si>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</si>
  <si>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</si>
  <si>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</si>
  <si>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</si>
  <si>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</si>
  <si>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</si>
  <si>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</si>
  <si>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</si>
  <si>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</si>
  <si>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</si>
  <si>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</si>
  <si>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</si>
  <si>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</si>
  <si>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</si>
  <si>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</si>
  <si>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</si>
  <si>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</si>
  <si>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</si>
  <si>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</si>
  <si>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</si>
  <si>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</si>
  <si>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</si>
  <si>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</si>
  <si>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</si>
  <si>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</si>
  <si>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</si>
  <si>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</si>
  <si>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</si>
  <si>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</si>
  <si>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</si>
  <si>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</si>
  <si>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</si>
  <si>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</si>
  <si>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</si>
  <si>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</si>
  <si>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</si>
  <si>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</si>
  <si>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</si>
  <si>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</si>
  <si>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</si>
  <si>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</si>
  <si>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</si>
  <si>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</si>
  <si>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</si>
  <si>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</si>
  <si>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</si>
  <si>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</si>
  <si>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</si>
  <si>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</si>
  <si>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</si>
  <si>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</si>
  <si>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</si>
  <si>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</si>
  <si>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</si>
  <si>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</si>
  <si>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</si>
  <si>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</si>
  <si>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</si>
  <si>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</si>
  <si>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</si>
  <si>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</si>
  <si>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</si>
  <si>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</si>
  <si>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</si>
  <si>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</si>
  <si>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</si>
  <si>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</si>
  <si>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</si>
  <si>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</si>
  <si>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</si>
  <si>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</si>
  <si>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</si>
  <si>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</si>
  <si>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</si>
  <si>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</si>
  <si>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</si>
  <si>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</si>
  <si>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</si>
  <si>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</si>
  <si>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</si>
  <si>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</si>
  <si>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</si>
  <si>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</si>
  <si>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</si>
  <si>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</si>
  <si>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</si>
  <si>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</si>
  <si>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</si>
  <si>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</si>
  <si>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</si>
  <si>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</si>
  <si>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</si>
  <si>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</si>
  <si>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</si>
  <si>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</si>
  <si>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</si>
  <si>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</si>
  <si>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</si>
  <si>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</si>
  <si>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</si>
  <si>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</si>
  <si>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</si>
  <si>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</si>
  <si>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</si>
  <si>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</si>
  <si>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</si>
  <si>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</si>
  <si>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</si>
  <si>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</si>
  <si>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</si>
  <si>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</si>
  <si>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</si>
  <si>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</si>
  <si>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</si>
  <si>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</si>
  <si>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</si>
  <si>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</si>
  <si>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</si>
  <si>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</si>
  <si>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</si>
  <si>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</si>
  <si>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</si>
  <si>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</si>
  <si>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</si>
  <si>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</si>
  <si>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</si>
  <si>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</si>
  <si>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</si>
  <si>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</si>
  <si>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</si>
  <si>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</si>
  <si>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</si>
  <si>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</si>
  <si>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</si>
  <si>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</si>
  <si>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</si>
  <si>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</si>
  <si>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</si>
  <si>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</si>
  <si>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</si>
  <si>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</si>
  <si>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</si>
  <si>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</si>
  <si>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</si>
  <si>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</si>
  <si>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</si>
  <si>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</si>
  <si>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</si>
  <si>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</si>
  <si>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</si>
  <si>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</si>
  <si>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</si>
  <si>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</si>
  <si>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</si>
  <si>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</si>
  <si>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</si>
  <si>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</si>
  <si>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</si>
  <si>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</si>
  <si>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</si>
  <si>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</si>
  <si>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</si>
  <si>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</si>
  <si>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</si>
  <si>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</si>
  <si>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</si>
  <si>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</si>
  <si>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</si>
  <si>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</si>
  <si>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</si>
  <si>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</si>
  <si>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</si>
  <si>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</si>
  <si>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</si>
  <si>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</si>
  <si>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</si>
  <si>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</si>
  <si>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</si>
  <si>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</si>
  <si>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</si>
  <si>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</si>
  <si>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</si>
  <si>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</si>
  <si>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</si>
  <si>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</si>
  <si>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</si>
  <si>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</si>
  <si>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</si>
  <si>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</si>
  <si>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</si>
  <si>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</si>
  <si>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</si>
  <si>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</si>
  <si>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</si>
  <si>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</si>
  <si>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</si>
  <si>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</si>
  <si>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</si>
  <si>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</si>
  <si>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</si>
  <si>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</si>
  <si>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</si>
  <si>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</si>
  <si>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</si>
  <si>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</si>
  <si>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</si>
  <si>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</si>
  <si>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</si>
  <si>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</si>
  <si>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</si>
  <si>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</si>
  <si>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</si>
  <si>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</si>
  <si>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</si>
  <si>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</si>
  <si>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</si>
  <si>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</si>
  <si>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</si>
  <si>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</si>
  <si>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</si>
  <si>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</si>
  <si>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</si>
  <si>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</si>
  <si>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</si>
  <si>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</si>
  <si>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</si>
  <si>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</si>
  <si>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</si>
  <si>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</si>
  <si>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</si>
  <si>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</si>
  <si>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</si>
  <si>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</si>
  <si>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</si>
  <si>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</si>
  <si>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</si>
  <si>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</si>
  <si>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</si>
  <si>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</si>
  <si>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</si>
  <si>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</si>
  <si>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</si>
  <si>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</si>
  <si>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</si>
  <si>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</si>
  <si>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</si>
  <si>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</si>
  <si>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</si>
  <si>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</si>
  <si>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</si>
  <si>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</si>
  <si>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</si>
  <si>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</si>
  <si>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</si>
  <si>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</si>
  <si>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</si>
  <si>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</si>
  <si>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</si>
  <si>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</si>
  <si>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</si>
  <si>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</si>
  <si>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</si>
  <si>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</si>
  <si>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</si>
  <si>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</si>
  <si>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</si>
  <si>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</si>
  <si>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</si>
  <si>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</si>
  <si>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</si>
  <si>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</si>
  <si>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</si>
  <si>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</si>
  <si>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</si>
  <si>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</si>
  <si>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</si>
  <si>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</si>
  <si>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</si>
  <si>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</si>
  <si>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</si>
  <si>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</si>
  <si>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</si>
  <si>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</si>
  <si>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</si>
  <si>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</si>
  <si>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</si>
  <si>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</si>
  <si>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</si>
  <si>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</si>
  <si>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</si>
  <si>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</si>
  <si>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</si>
  <si>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</si>
  <si>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</si>
  <si>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</si>
  <si>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</si>
  <si>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</si>
  <si>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</si>
  <si>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</si>
  <si>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</si>
  <si>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</si>
  <si>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</si>
  <si>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</si>
  <si>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</si>
  <si>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</si>
  <si>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</si>
  <si>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</si>
  <si>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</si>
  <si>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</si>
  <si>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</si>
  <si>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</si>
  <si>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</si>
  <si>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</si>
  <si>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</si>
  <si>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</si>
  <si>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</si>
  <si>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</si>
  <si>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</si>
  <si>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</si>
  <si>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</si>
  <si>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</si>
  <si>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</si>
  <si>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</si>
  <si>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</si>
  <si>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</si>
  <si>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</si>
  <si>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</si>
  <si>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</si>
  <si>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</si>
  <si>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</si>
  <si>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</si>
  <si>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</si>
  <si>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</si>
  <si>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</si>
  <si>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</si>
  <si>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</si>
  <si>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</si>
  <si>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</si>
  <si>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</si>
  <si>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</si>
  <si>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</si>
  <si>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</si>
  <si>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</si>
  <si>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</si>
  <si>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</si>
  <si>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</si>
  <si>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</si>
  <si>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</si>
  <si>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</si>
  <si>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</si>
  <si>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</si>
  <si>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</si>
  <si>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</si>
  <si>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</si>
  <si>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</si>
  <si>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</si>
  <si>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</si>
  <si>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</si>
  <si>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</si>
  <si>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</si>
  <si>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</si>
  <si>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</si>
  <si>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</si>
  <si>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</si>
  <si>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</si>
  <si>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</si>
  <si>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</si>
  <si>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</si>
  <si>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</si>
  <si>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</si>
  <si>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</si>
  <si>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</si>
  <si>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</si>
  <si>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</si>
  <si>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</si>
  <si>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</si>
  <si>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</si>
  <si>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</si>
  <si>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</si>
  <si>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</si>
  <si>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</si>
  <si>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</si>
  <si>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</si>
  <si>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</si>
  <si>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</si>
  <si>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</si>
  <si>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</si>
  <si>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</si>
  <si>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</si>
  <si>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</si>
  <si>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</si>
  <si>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</si>
  <si>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</si>
  <si>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</si>
  <si>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</si>
  <si>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</si>
  <si>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</si>
  <si>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</si>
  <si>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</si>
  <si>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</si>
  <si>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</si>
  <si>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</si>
  <si>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</si>
  <si>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</si>
  <si>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</si>
  <si>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</si>
  <si>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</si>
  <si>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</si>
  <si>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</si>
  <si>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</si>
  <si>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</si>
  <si>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</si>
  <si>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</si>
  <si>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</si>
  <si>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</si>
  <si>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</si>
  <si>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</si>
  <si>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</si>
  <si>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</si>
  <si>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</si>
  <si>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</si>
  <si>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</si>
  <si>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</si>
  <si>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</si>
  <si>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</si>
  <si>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</si>
  <si>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</si>
  <si>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</si>
  <si>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</si>
  <si>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</si>
  <si>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</si>
  <si>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</si>
  <si>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Б.Л. ЛИЗИНГ АД</t>
  </si>
  <si>
    <t>неконсолидиран</t>
  </si>
  <si>
    <t>/Дияна Боянова/</t>
  </si>
  <si>
    <t>Съставител: /Дияна Боянова/</t>
  </si>
  <si>
    <t xml:space="preserve">                                    Съставител: /Дияна Боянова/</t>
  </si>
  <si>
    <t>/Цветан Рашков/</t>
  </si>
  <si>
    <t xml:space="preserve"> Ръководител: /Цветан Рашков/</t>
  </si>
  <si>
    <t>Ръководител: /Цветан Рашков/</t>
  </si>
  <si>
    <t>01.01.2009 год. - 31.12.2009 год.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</si>
  <si>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</si>
  <si>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</t>
  </si>
  <si>
    <t>Дата на съставяне: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</si>
</sst>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5" fillId="0" borderId="0" xfId="27" applyNumberFormat="1" applyFont="1" applyAlignment="1" applyProtection="1">
      <alignment vertical="top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21" fillId="0" borderId="0" xfId="26" applyNumberFormat="1" applyFont="1" applyProtection="1">
      <alignment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4" fontId="0" fillId="0" borderId="0" xfId="24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175043618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865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5</v>
      </c>
      <c r="D11" s="205">
        <v>12</v>
      </c>
      <c r="E11" s="293" t="s">
        <v>22</v>
      </c>
      <c r="F11" s="298" t="s">
        <v>23</v>
      </c>
      <c r="G11" s="206">
        <v>1214</v>
      </c>
      <c r="H11" s="206">
        <v>840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1214</v>
      </c>
      <c r="H12" s="207">
        <v>840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39</v>
      </c>
      <c r="D15" s="205">
        <v>147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1214</v>
      </c>
      <c r="H17" s="208">
        <f>H11+H14+H15+H16</f>
        <v>840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44</v>
      </c>
      <c r="D19" s="209">
        <f>SUM(D11:D18)</f>
        <v>159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84</v>
      </c>
      <c r="H21" s="210">
        <f>SUM(H22:H24)</f>
        <v>56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84</v>
      </c>
      <c r="H22" s="206">
        <v>56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17</v>
      </c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84</v>
      </c>
      <c r="H25" s="208">
        <f>H19+H20+H21</f>
        <v>56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17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0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1176</v>
      </c>
      <c r="H31" s="206">
        <v>402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1176</v>
      </c>
      <c r="H33" s="208">
        <f>H27+H31+H32</f>
        <v>402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2474</v>
      </c>
      <c r="H36" s="208">
        <f>H25+H17+H33</f>
        <v>1298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>
        <v>2970</v>
      </c>
      <c r="D47" s="205">
        <v>2574</v>
      </c>
      <c r="E47" s="307" t="s">
        <v>145</v>
      </c>
      <c r="F47" s="298" t="s">
        <v>146</v>
      </c>
      <c r="G47" s="206">
        <v>14668</v>
      </c>
      <c r="H47" s="206">
        <v>17602</v>
      </c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480</v>
      </c>
      <c r="H48" s="206">
        <v>490</v>
      </c>
    </row>
    <row r="49" spans="1:18" ht="15">
      <c r="A49" s="291" t="s">
        <v>151</v>
      </c>
      <c r="B49" s="297" t="s">
        <v>152</v>
      </c>
      <c r="C49" s="205">
        <v>9052</v>
      </c>
      <c r="D49" s="205">
        <v>10751</v>
      </c>
      <c r="E49" s="307" t="s">
        <v>51</v>
      </c>
      <c r="F49" s="301" t="s">
        <v>153</v>
      </c>
      <c r="G49" s="208">
        <f>SUM(G43:G48)</f>
        <v>15148</v>
      </c>
      <c r="H49" s="208">
        <f>SUM(H43:H48)</f>
        <v>18092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>
        <v>10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12022</v>
      </c>
      <c r="D51" s="209">
        <f>SUM(D47:D50)</f>
        <v>13335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12083</v>
      </c>
      <c r="D55" s="209">
        <f>D19+D20+D21+D27+D32+D45+D51+D53+D54</f>
        <v>13494</v>
      </c>
      <c r="E55" s="293" t="s">
        <v>172</v>
      </c>
      <c r="F55" s="317" t="s">
        <v>173</v>
      </c>
      <c r="G55" s="208">
        <f>G49+G51+G52+G53+G54</f>
        <v>15148</v>
      </c>
      <c r="H55" s="208">
        <f>H49+H51+H52+H53+H54</f>
        <v>18092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857</v>
      </c>
      <c r="H59" s="206">
        <v>2983</v>
      </c>
      <c r="M59" s="211"/>
    </row>
    <row r="60" spans="1:8" ht="15">
      <c r="A60" s="291" t="s">
        <v>183</v>
      </c>
      <c r="B60" s="297" t="s">
        <v>184</v>
      </c>
      <c r="C60" s="205">
        <v>123</v>
      </c>
      <c r="D60" s="205">
        <v>20</v>
      </c>
      <c r="E60" s="293" t="s">
        <v>185</v>
      </c>
      <c r="F60" s="298" t="s">
        <v>186</v>
      </c>
      <c r="G60" s="206">
        <v>2934</v>
      </c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279</v>
      </c>
      <c r="H61" s="208">
        <f>SUM(H62:H68)</f>
        <v>14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>
        <v>2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123</v>
      </c>
      <c r="D64" s="209">
        <f>SUM(D58:D63)</f>
        <v>20</v>
      </c>
      <c r="E64" s="293" t="s">
        <v>200</v>
      </c>
      <c r="F64" s="298" t="s">
        <v>201</v>
      </c>
      <c r="G64" s="206">
        <v>61</v>
      </c>
      <c r="H64" s="206">
        <v>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</v>
      </c>
      <c r="H66" s="206">
        <v>6</v>
      </c>
    </row>
    <row r="67" spans="1:8" ht="15">
      <c r="A67" s="291" t="s">
        <v>207</v>
      </c>
      <c r="B67" s="297" t="s">
        <v>208</v>
      </c>
      <c r="C67" s="205">
        <v>1411</v>
      </c>
      <c r="D67" s="205">
        <v>848</v>
      </c>
      <c r="E67" s="293" t="s">
        <v>209</v>
      </c>
      <c r="F67" s="298" t="s">
        <v>210</v>
      </c>
      <c r="G67" s="206">
        <v>1</v>
      </c>
      <c r="H67" s="206">
        <v>1</v>
      </c>
    </row>
    <row r="68" spans="1:8" ht="15">
      <c r="A68" s="291" t="s">
        <v>211</v>
      </c>
      <c r="B68" s="297" t="s">
        <v>212</v>
      </c>
      <c r="C68" s="205">
        <v>550</v>
      </c>
      <c r="D68" s="205">
        <v>209</v>
      </c>
      <c r="E68" s="293" t="s">
        <v>213</v>
      </c>
      <c r="F68" s="298" t="s">
        <v>214</v>
      </c>
      <c r="G68" s="206">
        <v>211</v>
      </c>
      <c r="H68" s="206">
        <v>3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371</v>
      </c>
      <c r="H69" s="206">
        <v>392</v>
      </c>
    </row>
    <row r="70" spans="1:8" ht="15">
      <c r="A70" s="291" t="s">
        <v>218</v>
      </c>
      <c r="B70" s="297" t="s">
        <v>219</v>
      </c>
      <c r="C70" s="205">
        <v>474</v>
      </c>
      <c r="D70" s="205">
        <v>515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19</v>
      </c>
      <c r="D71" s="205">
        <v>19</v>
      </c>
      <c r="E71" s="309" t="s">
        <v>46</v>
      </c>
      <c r="F71" s="329" t="s">
        <v>224</v>
      </c>
      <c r="G71" s="215">
        <f>G59+G60+G61+G69+G70</f>
        <v>4441</v>
      </c>
      <c r="H71" s="215">
        <f>H59+H60+H61+H69+H70</f>
        <v>3389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6944</v>
      </c>
      <c r="D74" s="205">
        <v>6496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9398</v>
      </c>
      <c r="D75" s="209">
        <f>SUM(D67:D74)</f>
        <v>8088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4441</v>
      </c>
      <c r="H79" s="216">
        <f>H71+H74+H75+H76</f>
        <v>3389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67</v>
      </c>
      <c r="D87" s="205">
        <v>60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355</v>
      </c>
      <c r="D88" s="205">
        <v>1081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422</v>
      </c>
      <c r="D91" s="209">
        <f>SUM(D87:D90)</f>
        <v>1141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37</v>
      </c>
      <c r="D92" s="205">
        <v>36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9980</v>
      </c>
      <c r="D93" s="209">
        <f>D64+D75+D84+D91+D92</f>
        <v>9285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22063</v>
      </c>
      <c r="D94" s="218">
        <f>D93+D55</f>
        <v>22779</v>
      </c>
      <c r="E94" s="558" t="s">
        <v>270</v>
      </c>
      <c r="F94" s="345" t="s">
        <v>271</v>
      </c>
      <c r="G94" s="219">
        <f>G36+G39+G55+G79</f>
        <v>22063</v>
      </c>
      <c r="H94" s="219">
        <f>H36+H39+H55+H79</f>
        <v>22779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4" t="s">
        <v>382</v>
      </c>
      <c r="D98" s="604"/>
      <c r="E98" s="604"/>
      <c r="F98" s="224"/>
      <c r="G98" s="225"/>
      <c r="H98" s="226"/>
      <c r="M98" s="211"/>
    </row>
    <row r="99" spans="1:8" ht="15">
      <c r="A99" s="641">
        <v>40234</v>
      </c>
      <c r="C99" s="78"/>
      <c r="D99" s="1" t="s">
        <v>859</v>
      </c>
      <c r="E99" s="78"/>
      <c r="F99" s="224"/>
      <c r="G99" s="225"/>
      <c r="H99" s="226"/>
    </row>
    <row r="100" spans="1:5" ht="15">
      <c r="A100" s="227"/>
      <c r="B100" s="227"/>
      <c r="C100" s="604" t="s">
        <v>780</v>
      </c>
      <c r="D100" s="605"/>
      <c r="E100" s="605"/>
    </row>
    <row r="101" ht="15">
      <c r="D101" s="1" t="s">
        <v>862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H23" sqref="H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Б.Л. ЛИЗИНГ АД</v>
      </c>
      <c r="F2" s="608" t="s">
        <v>2</v>
      </c>
      <c r="G2" s="608"/>
      <c r="H2" s="353">
        <f>'справка №1-БАЛАНС'!H3</f>
        <v>175043618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01.01.2009 год. - 31.12.2009 год.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v>15</v>
      </c>
      <c r="D9" s="79">
        <v>35</v>
      </c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292</v>
      </c>
      <c r="D10" s="79">
        <v>270</v>
      </c>
      <c r="E10" s="363" t="s">
        <v>288</v>
      </c>
      <c r="F10" s="365" t="s">
        <v>289</v>
      </c>
      <c r="G10" s="87">
        <v>9088</v>
      </c>
      <c r="H10" s="87">
        <v>12576</v>
      </c>
    </row>
    <row r="11" spans="1:8" ht="12">
      <c r="A11" s="363" t="s">
        <v>290</v>
      </c>
      <c r="B11" s="364" t="s">
        <v>291</v>
      </c>
      <c r="C11" s="79">
        <v>43</v>
      </c>
      <c r="D11" s="79">
        <v>59</v>
      </c>
      <c r="E11" s="366" t="s">
        <v>292</v>
      </c>
      <c r="F11" s="365" t="s">
        <v>293</v>
      </c>
      <c r="G11" s="87">
        <v>666</v>
      </c>
      <c r="H11" s="87">
        <v>617</v>
      </c>
    </row>
    <row r="12" spans="1:8" ht="12">
      <c r="A12" s="363" t="s">
        <v>294</v>
      </c>
      <c r="B12" s="364" t="s">
        <v>295</v>
      </c>
      <c r="C12" s="79">
        <v>297</v>
      </c>
      <c r="D12" s="79">
        <v>293</v>
      </c>
      <c r="E12" s="366" t="s">
        <v>78</v>
      </c>
      <c r="F12" s="365" t="s">
        <v>296</v>
      </c>
      <c r="G12" s="87">
        <v>322</v>
      </c>
      <c r="H12" s="87">
        <v>123</v>
      </c>
    </row>
    <row r="13" spans="1:18" ht="12">
      <c r="A13" s="363" t="s">
        <v>297</v>
      </c>
      <c r="B13" s="364" t="s">
        <v>298</v>
      </c>
      <c r="C13" s="79">
        <v>34</v>
      </c>
      <c r="D13" s="79">
        <v>34</v>
      </c>
      <c r="E13" s="367" t="s">
        <v>51</v>
      </c>
      <c r="F13" s="368" t="s">
        <v>299</v>
      </c>
      <c r="G13" s="88">
        <f>SUM(G9:G12)</f>
        <v>10076</v>
      </c>
      <c r="H13" s="88">
        <f>SUM(H9:H12)</f>
        <v>13316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8957</v>
      </c>
      <c r="D14" s="79">
        <v>12497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85</v>
      </c>
      <c r="D16" s="80">
        <v>15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9723</v>
      </c>
      <c r="D19" s="82">
        <f>SUM(D9:D15)+D16</f>
        <v>13203</v>
      </c>
      <c r="E19" s="373" t="s">
        <v>316</v>
      </c>
      <c r="F19" s="369" t="s">
        <v>317</v>
      </c>
      <c r="G19" s="87">
        <v>2262</v>
      </c>
      <c r="H19" s="87">
        <v>2193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>
        <v>1267</v>
      </c>
      <c r="D22" s="79">
        <v>1747</v>
      </c>
      <c r="E22" s="373" t="s">
        <v>325</v>
      </c>
      <c r="F22" s="369" t="s">
        <v>326</v>
      </c>
      <c r="G22" s="87"/>
      <c r="H22" s="87">
        <v>1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>
        <v>1</v>
      </c>
      <c r="D24" s="79">
        <v>3</v>
      </c>
      <c r="E24" s="367" t="s">
        <v>103</v>
      </c>
      <c r="F24" s="370" t="s">
        <v>333</v>
      </c>
      <c r="G24" s="88">
        <f>SUM(G19:G23)</f>
        <v>2262</v>
      </c>
      <c r="H24" s="88">
        <f>SUM(H19:H23)</f>
        <v>2194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40</v>
      </c>
      <c r="D25" s="79">
        <v>111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1308</v>
      </c>
      <c r="D26" s="82">
        <f>SUM(D22:D25)</f>
        <v>1861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11031</v>
      </c>
      <c r="D28" s="83">
        <f>D26+D19</f>
        <v>15064</v>
      </c>
      <c r="E28" s="174" t="s">
        <v>338</v>
      </c>
      <c r="F28" s="370" t="s">
        <v>339</v>
      </c>
      <c r="G28" s="88">
        <f>G13+G15+G24</f>
        <v>12338</v>
      </c>
      <c r="H28" s="88">
        <f>H13+H15+H24</f>
        <v>15510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1307</v>
      </c>
      <c r="D30" s="83">
        <f>IF((H28-D28)&gt;0,H28-D28,0)</f>
        <v>446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850</v>
      </c>
      <c r="B31" s="376" t="s">
        <v>344</v>
      </c>
      <c r="C31" s="79"/>
      <c r="D31" s="79"/>
      <c r="E31" s="361" t="s">
        <v>853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11031</v>
      </c>
      <c r="D33" s="82">
        <f>D28-D31+D32</f>
        <v>15064</v>
      </c>
      <c r="E33" s="174" t="s">
        <v>352</v>
      </c>
      <c r="F33" s="370" t="s">
        <v>353</v>
      </c>
      <c r="G33" s="90">
        <f>G32-G31+G28</f>
        <v>12338</v>
      </c>
      <c r="H33" s="90">
        <f>H32-H31+H28</f>
        <v>15510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1307</v>
      </c>
      <c r="D34" s="83">
        <f>IF((H33-D33)&gt;0,H33-D33,0)</f>
        <v>446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131</v>
      </c>
      <c r="D35" s="82">
        <f>D36+D37+D38</f>
        <v>44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>
        <v>131</v>
      </c>
      <c r="D36" s="79">
        <v>44</v>
      </c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1176</v>
      </c>
      <c r="D39" s="570">
        <f>+IF((H33-D33-D35)&gt;0,H33-D33-D35,0)</f>
        <v>402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1176</v>
      </c>
      <c r="D41" s="85">
        <f>IF(H39=0,IF(D39-D40&gt;0,D39-D40+H40,0),IF(H39-H40&lt;0,H40-H39+D39,0))</f>
        <v>402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12338</v>
      </c>
      <c r="D42" s="86">
        <f>D33+D35+D39</f>
        <v>15510</v>
      </c>
      <c r="E42" s="177" t="s">
        <v>379</v>
      </c>
      <c r="F42" s="178" t="s">
        <v>380</v>
      </c>
      <c r="G42" s="90">
        <f>G39+G33</f>
        <v>12338</v>
      </c>
      <c r="H42" s="90">
        <f>H39+H33</f>
        <v>15510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642">
        <v>40234</v>
      </c>
      <c r="C44" s="532" t="s">
        <v>382</v>
      </c>
      <c r="D44" s="606"/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859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 t="s">
        <v>862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0" sqref="C1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Б.Л. ЛИЗИНГ АД</v>
      </c>
      <c r="C4" s="397" t="s">
        <v>2</v>
      </c>
      <c r="D4" s="353">
        <f>'справка №1-БАЛАНС'!H3</f>
        <v>175043618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 год. - 31.12.2009 год.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15198</v>
      </c>
      <c r="D10" s="92">
        <v>14980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-11413</v>
      </c>
      <c r="D11" s="92">
        <v>-16301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-331</v>
      </c>
      <c r="D13" s="92">
        <v>-333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>
        <v>-51</v>
      </c>
      <c r="D15" s="92">
        <v>-67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>
        <v>-6</v>
      </c>
      <c r="D17" s="92">
        <v>-99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-1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-183</v>
      </c>
      <c r="D19" s="92">
        <v>952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3213</v>
      </c>
      <c r="D20" s="93">
        <f>SUM(D10:D19)</f>
        <v>-870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-12</v>
      </c>
      <c r="D22" s="92">
        <v>-91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76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-12</v>
      </c>
      <c r="D32" s="93">
        <f>SUM(D22:D31)</f>
        <v>-15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>
        <v>6027</v>
      </c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4160</v>
      </c>
      <c r="D36" s="92">
        <v>7051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-6215</v>
      </c>
      <c r="D37" s="92">
        <v>-9342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-525</v>
      </c>
      <c r="D38" s="92">
        <v>-243</v>
      </c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-1312</v>
      </c>
      <c r="D39" s="92">
        <v>-1970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-28</v>
      </c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-3920</v>
      </c>
      <c r="D42" s="93">
        <f>SUM(D34:D41)</f>
        <v>1523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-719</v>
      </c>
      <c r="D43" s="93">
        <f>D42+D32+D20</f>
        <v>638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1141</v>
      </c>
      <c r="D44" s="184">
        <v>503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422</v>
      </c>
      <c r="D45" s="93">
        <f>D44+D43</f>
        <v>1141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643">
        <v>40234</v>
      </c>
      <c r="B50" s="544" t="s">
        <v>382</v>
      </c>
      <c r="C50" s="609"/>
      <c r="D50" s="609"/>
      <c r="G50" s="186"/>
      <c r="H50" s="186"/>
    </row>
    <row r="51" spans="1:8" ht="12">
      <c r="A51" s="546"/>
      <c r="B51" s="546"/>
      <c r="C51" s="542" t="s">
        <v>859</v>
      </c>
      <c r="D51" s="542"/>
      <c r="G51" s="186"/>
      <c r="H51" s="186"/>
    </row>
    <row r="52" spans="1:8" ht="12">
      <c r="A52" s="546"/>
      <c r="B52" s="544" t="s">
        <v>780</v>
      </c>
      <c r="C52" s="609"/>
      <c r="D52" s="609"/>
      <c r="G52" s="186"/>
      <c r="H52" s="186"/>
    </row>
    <row r="53" spans="1:8" ht="12">
      <c r="A53" s="546"/>
      <c r="B53" s="546"/>
      <c r="C53" s="542" t="s">
        <v>862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C28" sqref="C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460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Б.Л. ЛИЗИНГ АД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175043618</v>
      </c>
      <c r="N3" s="3"/>
    </row>
    <row r="4" spans="1:15" s="5" customFormat="1" ht="13.5" customHeight="1">
      <c r="A4" s="6" t="s">
        <v>461</v>
      </c>
      <c r="B4" s="574"/>
      <c r="C4" s="612" t="str">
        <f>'справка №1-БАЛАНС'!E4</f>
        <v>неконсолидиран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01.01.2009 год. - 31.12.2009 год.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840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56</v>
      </c>
      <c r="G11" s="96">
        <f>'справка №1-БАЛАНС'!H23</f>
        <v>0</v>
      </c>
      <c r="H11" s="98"/>
      <c r="I11" s="96">
        <f>'справка №1-БАЛАНС'!H28+'справка №1-БАЛАНС'!H31</f>
        <v>402</v>
      </c>
      <c r="J11" s="96">
        <f>'справка №1-БАЛАНС'!H29+'справка №1-БАЛАНС'!H32</f>
        <v>0</v>
      </c>
      <c r="K11" s="98"/>
      <c r="L11" s="424">
        <f>SUM(C11:K11)</f>
        <v>1298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840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56</v>
      </c>
      <c r="G15" s="99">
        <f t="shared" si="2"/>
        <v>0</v>
      </c>
      <c r="H15" s="99">
        <f t="shared" si="2"/>
        <v>0</v>
      </c>
      <c r="I15" s="99">
        <f t="shared" si="2"/>
        <v>402</v>
      </c>
      <c r="J15" s="99">
        <f t="shared" si="2"/>
        <v>0</v>
      </c>
      <c r="K15" s="99">
        <f t="shared" si="2"/>
        <v>0</v>
      </c>
      <c r="L15" s="424">
        <f t="shared" si="1"/>
        <v>1298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1176</v>
      </c>
      <c r="J16" s="425">
        <f>+'справка №1-БАЛАНС'!G32</f>
        <v>0</v>
      </c>
      <c r="K16" s="98"/>
      <c r="L16" s="424">
        <f t="shared" si="1"/>
        <v>1176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374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28</v>
      </c>
      <c r="G17" s="100">
        <f t="shared" si="3"/>
        <v>0</v>
      </c>
      <c r="H17" s="100">
        <f t="shared" si="3"/>
        <v>0</v>
      </c>
      <c r="I17" s="100">
        <f t="shared" si="3"/>
        <v>-402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>
        <v>374</v>
      </c>
      <c r="D19" s="98"/>
      <c r="E19" s="98"/>
      <c r="F19" s="98">
        <v>28</v>
      </c>
      <c r="G19" s="98"/>
      <c r="H19" s="98"/>
      <c r="I19" s="98">
        <v>-402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1214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</v>
      </c>
      <c r="G29" s="97">
        <f t="shared" si="6"/>
        <v>0</v>
      </c>
      <c r="H29" s="97">
        <f t="shared" si="6"/>
        <v>0</v>
      </c>
      <c r="I29" s="97">
        <f t="shared" si="6"/>
        <v>1176</v>
      </c>
      <c r="J29" s="97">
        <f t="shared" si="6"/>
        <v>0</v>
      </c>
      <c r="K29" s="97">
        <f t="shared" si="6"/>
        <v>0</v>
      </c>
      <c r="L29" s="424">
        <f t="shared" si="1"/>
        <v>2474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1214</v>
      </c>
      <c r="D32" s="97">
        <f t="shared" si="7"/>
        <v>0</v>
      </c>
      <c r="E32" s="97">
        <f t="shared" si="7"/>
        <v>0</v>
      </c>
      <c r="F32" s="97">
        <f t="shared" si="7"/>
        <v>84</v>
      </c>
      <c r="G32" s="97">
        <f t="shared" si="7"/>
        <v>0</v>
      </c>
      <c r="H32" s="97">
        <f t="shared" si="7"/>
        <v>0</v>
      </c>
      <c r="I32" s="97">
        <f t="shared" si="7"/>
        <v>1176</v>
      </c>
      <c r="J32" s="97">
        <f t="shared" si="7"/>
        <v>0</v>
      </c>
      <c r="K32" s="97">
        <f t="shared" si="7"/>
        <v>0</v>
      </c>
      <c r="L32" s="424">
        <f t="shared" si="1"/>
        <v>2474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866</v>
      </c>
      <c r="B35" s="37"/>
      <c r="C35" s="24"/>
      <c r="D35" s="611"/>
      <c r="E35" s="611"/>
      <c r="F35" s="611" t="s">
        <v>860</v>
      </c>
      <c r="G35" s="611"/>
      <c r="H35" s="611"/>
      <c r="I35" s="611"/>
      <c r="J35" s="24"/>
      <c r="K35" s="24"/>
      <c r="L35" s="611" t="s">
        <v>863</v>
      </c>
      <c r="M35" s="611"/>
      <c r="N35" s="19"/>
    </row>
    <row r="36" spans="1:13" ht="12">
      <c r="A36" s="644">
        <v>40234</v>
      </c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N40" sqref="N4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5" t="s">
        <v>384</v>
      </c>
      <c r="B2" s="616"/>
      <c r="C2" s="585"/>
      <c r="D2" s="585"/>
      <c r="E2" s="612" t="str">
        <f>'справка №1-БАЛАНС'!E3</f>
        <v>Б.Л. ЛИЗИНГ АД</v>
      </c>
      <c r="F2" s="617"/>
      <c r="G2" s="617"/>
      <c r="H2" s="585"/>
      <c r="I2" s="441"/>
      <c r="J2" s="441"/>
      <c r="K2" s="441"/>
      <c r="L2" s="441"/>
      <c r="M2" s="619" t="s">
        <v>2</v>
      </c>
      <c r="N2" s="620"/>
      <c r="O2" s="620"/>
      <c r="P2" s="621">
        <f>'справка №1-БАЛАНС'!H3</f>
        <v>175043618</v>
      </c>
      <c r="Q2" s="621"/>
      <c r="R2" s="353"/>
    </row>
    <row r="3" spans="1:18" ht="15">
      <c r="A3" s="615" t="s">
        <v>5</v>
      </c>
      <c r="B3" s="616"/>
      <c r="C3" s="586"/>
      <c r="D3" s="586"/>
      <c r="E3" s="612" t="str">
        <f>'справка №1-БАЛАНС'!E5</f>
        <v>01.01.2009 год. - 31.12.2009 год.</v>
      </c>
      <c r="F3" s="618"/>
      <c r="G3" s="618"/>
      <c r="H3" s="443"/>
      <c r="I3" s="443"/>
      <c r="J3" s="443"/>
      <c r="K3" s="443"/>
      <c r="L3" s="443"/>
      <c r="M3" s="622" t="s">
        <v>4</v>
      </c>
      <c r="N3" s="622"/>
      <c r="O3" s="577"/>
      <c r="P3" s="623" t="str">
        <f>'справка №1-БАЛАНС'!H4</f>
        <v> </v>
      </c>
      <c r="Q3" s="623"/>
      <c r="R3" s="354"/>
    </row>
    <row r="4" spans="1:18" ht="12.75">
      <c r="A4" s="436" t="s">
        <v>523</v>
      </c>
      <c r="B4" s="442"/>
      <c r="C4" s="442"/>
      <c r="D4" s="443"/>
      <c r="E4" s="626"/>
      <c r="F4" s="627"/>
      <c r="G4" s="62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8" t="s">
        <v>464</v>
      </c>
      <c r="B5" s="629"/>
      <c r="C5" s="632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4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4" t="s">
        <v>529</v>
      </c>
      <c r="R5" s="624" t="s">
        <v>530</v>
      </c>
    </row>
    <row r="6" spans="1:18" s="44" customFormat="1" ht="48">
      <c r="A6" s="630"/>
      <c r="B6" s="631"/>
      <c r="C6" s="633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5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5"/>
      <c r="R6" s="625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40</v>
      </c>
      <c r="L11" s="103">
        <v>7</v>
      </c>
      <c r="M11" s="103"/>
      <c r="N11" s="113">
        <f t="shared" si="4"/>
        <v>47</v>
      </c>
      <c r="O11" s="103"/>
      <c r="P11" s="103"/>
      <c r="Q11" s="113">
        <f t="shared" si="0"/>
        <v>47</v>
      </c>
      <c r="R11" s="113">
        <f t="shared" si="1"/>
        <v>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238</v>
      </c>
      <c r="E13" s="243">
        <v>10</v>
      </c>
      <c r="F13" s="243">
        <v>113</v>
      </c>
      <c r="G13" s="113">
        <f t="shared" si="2"/>
        <v>135</v>
      </c>
      <c r="H13" s="103"/>
      <c r="I13" s="103"/>
      <c r="J13" s="113">
        <f t="shared" si="3"/>
        <v>135</v>
      </c>
      <c r="K13" s="103">
        <v>91</v>
      </c>
      <c r="L13" s="103">
        <v>33</v>
      </c>
      <c r="M13" s="103">
        <v>28</v>
      </c>
      <c r="N13" s="113">
        <f t="shared" si="4"/>
        <v>96</v>
      </c>
      <c r="O13" s="103"/>
      <c r="P13" s="103"/>
      <c r="Q13" s="113">
        <f t="shared" si="0"/>
        <v>96</v>
      </c>
      <c r="R13" s="113">
        <f t="shared" si="1"/>
        <v>39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290</v>
      </c>
      <c r="E17" s="248">
        <f>SUM(E9:E16)</f>
        <v>10</v>
      </c>
      <c r="F17" s="248">
        <f>SUM(F9:F16)</f>
        <v>113</v>
      </c>
      <c r="G17" s="113">
        <f t="shared" si="2"/>
        <v>187</v>
      </c>
      <c r="H17" s="114">
        <f>SUM(H9:H16)</f>
        <v>0</v>
      </c>
      <c r="I17" s="114">
        <f>SUM(I9:I16)</f>
        <v>0</v>
      </c>
      <c r="J17" s="113">
        <f t="shared" si="3"/>
        <v>187</v>
      </c>
      <c r="K17" s="114">
        <f>SUM(K9:K16)</f>
        <v>131</v>
      </c>
      <c r="L17" s="114">
        <f>SUM(L9:L16)</f>
        <v>40</v>
      </c>
      <c r="M17" s="114">
        <f>SUM(M9:M16)</f>
        <v>28</v>
      </c>
      <c r="N17" s="113">
        <f t="shared" si="4"/>
        <v>143</v>
      </c>
      <c r="O17" s="114">
        <f>SUM(O9:O16)</f>
        <v>0</v>
      </c>
      <c r="P17" s="114">
        <f>SUM(P9:P16)</f>
        <v>0</v>
      </c>
      <c r="Q17" s="113">
        <f t="shared" si="5"/>
        <v>143</v>
      </c>
      <c r="R17" s="113">
        <f t="shared" si="6"/>
        <v>44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>
        <v>20</v>
      </c>
      <c r="F22" s="243"/>
      <c r="G22" s="113">
        <f t="shared" si="2"/>
        <v>21</v>
      </c>
      <c r="H22" s="103"/>
      <c r="I22" s="103"/>
      <c r="J22" s="113">
        <f t="shared" si="3"/>
        <v>21</v>
      </c>
      <c r="K22" s="103">
        <v>1</v>
      </c>
      <c r="L22" s="103">
        <v>3</v>
      </c>
      <c r="M22" s="103"/>
      <c r="N22" s="113">
        <f t="shared" si="4"/>
        <v>4</v>
      </c>
      <c r="O22" s="103"/>
      <c r="P22" s="103"/>
      <c r="Q22" s="113">
        <f t="shared" si="5"/>
        <v>4</v>
      </c>
      <c r="R22" s="113">
        <f t="shared" si="6"/>
        <v>17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837</v>
      </c>
      <c r="C25" s="468" t="s">
        <v>582</v>
      </c>
      <c r="D25" s="244">
        <f>SUM(D21:D24)</f>
        <v>1</v>
      </c>
      <c r="E25" s="244">
        <f aca="true" t="shared" si="7" ref="E25:P25">SUM(E21:E24)</f>
        <v>20</v>
      </c>
      <c r="F25" s="244">
        <f t="shared" si="7"/>
        <v>0</v>
      </c>
      <c r="G25" s="105">
        <f t="shared" si="2"/>
        <v>21</v>
      </c>
      <c r="H25" s="104">
        <f t="shared" si="7"/>
        <v>0</v>
      </c>
      <c r="I25" s="104">
        <f t="shared" si="7"/>
        <v>0</v>
      </c>
      <c r="J25" s="105">
        <f t="shared" si="3"/>
        <v>21</v>
      </c>
      <c r="K25" s="104">
        <f t="shared" si="7"/>
        <v>1</v>
      </c>
      <c r="L25" s="104">
        <f t="shared" si="7"/>
        <v>3</v>
      </c>
      <c r="M25" s="104">
        <f t="shared" si="7"/>
        <v>0</v>
      </c>
      <c r="N25" s="105">
        <f t="shared" si="4"/>
        <v>4</v>
      </c>
      <c r="O25" s="104">
        <f t="shared" si="7"/>
        <v>0</v>
      </c>
      <c r="P25" s="104">
        <f t="shared" si="7"/>
        <v>0</v>
      </c>
      <c r="Q25" s="105">
        <f t="shared" si="5"/>
        <v>4</v>
      </c>
      <c r="R25" s="105">
        <f t="shared" si="6"/>
        <v>17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851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291</v>
      </c>
      <c r="E40" s="547">
        <f>E17+E18+E19+E25+E38+E39</f>
        <v>30</v>
      </c>
      <c r="F40" s="547">
        <f aca="true" t="shared" si="13" ref="F40:R40">F17+F18+F19+F25+F38+F39</f>
        <v>113</v>
      </c>
      <c r="G40" s="547">
        <f t="shared" si="13"/>
        <v>208</v>
      </c>
      <c r="H40" s="547">
        <f t="shared" si="13"/>
        <v>0</v>
      </c>
      <c r="I40" s="547">
        <f t="shared" si="13"/>
        <v>0</v>
      </c>
      <c r="J40" s="547">
        <f t="shared" si="13"/>
        <v>208</v>
      </c>
      <c r="K40" s="547">
        <f t="shared" si="13"/>
        <v>132</v>
      </c>
      <c r="L40" s="547">
        <f t="shared" si="13"/>
        <v>43</v>
      </c>
      <c r="M40" s="547">
        <f t="shared" si="13"/>
        <v>28</v>
      </c>
      <c r="N40" s="547">
        <f t="shared" si="13"/>
        <v>147</v>
      </c>
      <c r="O40" s="547">
        <f t="shared" si="13"/>
        <v>0</v>
      </c>
      <c r="P40" s="547">
        <f t="shared" si="13"/>
        <v>0</v>
      </c>
      <c r="Q40" s="547">
        <f t="shared" si="13"/>
        <v>147</v>
      </c>
      <c r="R40" s="547">
        <f t="shared" si="13"/>
        <v>61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867</v>
      </c>
      <c r="C44" s="445"/>
      <c r="D44" s="446"/>
      <c r="E44" s="446"/>
      <c r="F44" s="446"/>
      <c r="G44" s="436"/>
      <c r="H44" s="447" t="s">
        <v>861</v>
      </c>
      <c r="I44" s="447"/>
      <c r="J44" s="447"/>
      <c r="K44" s="634"/>
      <c r="L44" s="634"/>
      <c r="M44" s="634"/>
      <c r="N44" s="634"/>
      <c r="O44" s="620" t="s">
        <v>864</v>
      </c>
      <c r="P44" s="616"/>
      <c r="Q44" s="616"/>
      <c r="R44" s="616"/>
    </row>
    <row r="45" spans="1:18" ht="12">
      <c r="A45" s="437"/>
      <c r="B45" s="645">
        <v>40234</v>
      </c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4">
      <selection activeCell="C93" sqref="C93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3" t="s">
        <v>608</v>
      </c>
      <c r="B1" s="603"/>
      <c r="C1" s="603"/>
      <c r="D1" s="603"/>
      <c r="E1" s="60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8" t="str">
        <f>"Име на отчитащото се предприятие:"&amp;"           "&amp;'справка №1-БАЛАНС'!E3</f>
        <v>Име на отчитащото се предприятие:           Б.Л. ЛИЗИНГ АД</v>
      </c>
      <c r="B3" s="598"/>
      <c r="C3" s="353" t="s">
        <v>2</v>
      </c>
      <c r="E3" s="353">
        <f>'справка №1-БАЛАНС'!H3</f>
        <v>175043618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599" t="str">
        <f>"Отчетен период:"&amp;"           "&amp;'справка №1-БАЛАНС'!E5</f>
        <v>Отчетен период:           01.01.2009 год. - 31.12.2009 год.</v>
      </c>
      <c r="B4" s="599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1050</v>
      </c>
      <c r="D11" s="165">
        <f>SUM(D12:D14)</f>
        <v>0</v>
      </c>
      <c r="E11" s="166">
        <f>SUM(E12:E14)</f>
        <v>1050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>
        <v>1050</v>
      </c>
      <c r="D12" s="153"/>
      <c r="E12" s="166">
        <f aca="true" t="shared" si="0" ref="E12:E42">C12-D12</f>
        <v>1050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10972</v>
      </c>
      <c r="D16" s="165">
        <f>+D17+D18</f>
        <v>0</v>
      </c>
      <c r="E16" s="166">
        <f t="shared" si="0"/>
        <v>10972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>
        <v>10972</v>
      </c>
      <c r="D17" s="153"/>
      <c r="E17" s="166">
        <f t="shared" si="0"/>
        <v>10972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12022</v>
      </c>
      <c r="D19" s="149">
        <f>D11+D15+D16</f>
        <v>0</v>
      </c>
      <c r="E19" s="164">
        <f>E11+E15+E16</f>
        <v>12022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1885</v>
      </c>
      <c r="D24" s="165">
        <f>SUM(D25:D27)</f>
        <v>1885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v>474</v>
      </c>
      <c r="D25" s="153">
        <v>474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>
        <v>1411</v>
      </c>
      <c r="D26" s="153">
        <v>1411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550</v>
      </c>
      <c r="D28" s="153">
        <v>550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19</v>
      </c>
      <c r="D31" s="153">
        <v>19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6944</v>
      </c>
      <c r="D38" s="150">
        <f>SUM(D39:D42)</f>
        <v>6944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6944</v>
      </c>
      <c r="D42" s="153">
        <v>6944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9398</v>
      </c>
      <c r="D43" s="149">
        <f>D24+D28+D29+D31+D30+D32+D33+D38</f>
        <v>9398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21420</v>
      </c>
      <c r="D44" s="148">
        <f>D43+D21+D19+D9</f>
        <v>9398</v>
      </c>
      <c r="E44" s="164">
        <f>E43+E21+E19+E9</f>
        <v>12022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>
        <v>14668</v>
      </c>
      <c r="D63" s="153"/>
      <c r="E63" s="165">
        <f t="shared" si="1"/>
        <v>14668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>
        <v>480</v>
      </c>
      <c r="D64" s="153"/>
      <c r="E64" s="165">
        <f t="shared" si="1"/>
        <v>480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>
        <v>480</v>
      </c>
      <c r="D65" s="154"/>
      <c r="E65" s="165">
        <f t="shared" si="1"/>
        <v>480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15148</v>
      </c>
      <c r="D66" s="148">
        <f>D52+D56+D61+D62+D63+D64</f>
        <v>0</v>
      </c>
      <c r="E66" s="165">
        <f t="shared" si="1"/>
        <v>15148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857</v>
      </c>
      <c r="D75" s="148">
        <f>D76+D78</f>
        <v>857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>
        <v>857</v>
      </c>
      <c r="D76" s="153">
        <v>857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2934</v>
      </c>
      <c r="D80" s="148">
        <f>SUM(D81:D84)</f>
        <v>2934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>
        <v>2934</v>
      </c>
      <c r="D82" s="153">
        <v>2934</v>
      </c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279</v>
      </c>
      <c r="D85" s="149">
        <f>SUM(D86:D90)+D94</f>
        <v>279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61</v>
      </c>
      <c r="D87" s="153">
        <v>61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6</v>
      </c>
      <c r="D89" s="153">
        <v>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211</v>
      </c>
      <c r="D90" s="148">
        <f>SUM(D91:D93)</f>
        <v>211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>
        <v>83</v>
      </c>
      <c r="D91" s="153">
        <v>83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>
        <v>128</v>
      </c>
      <c r="D92" s="153">
        <v>128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371</v>
      </c>
      <c r="D95" s="153">
        <v>371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4441</v>
      </c>
      <c r="D96" s="149">
        <f>D85+D80+D75+D71+D95</f>
        <v>4441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19589</v>
      </c>
      <c r="D97" s="149">
        <f>D96+D68+D66</f>
        <v>4441</v>
      </c>
      <c r="E97" s="149">
        <f>E96+E68+E66</f>
        <v>15148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2" t="s">
        <v>779</v>
      </c>
      <c r="B107" s="602"/>
      <c r="C107" s="602"/>
      <c r="D107" s="602"/>
      <c r="E107" s="602"/>
      <c r="F107" s="60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1" t="s">
        <v>272</v>
      </c>
      <c r="B109" s="601"/>
      <c r="C109" s="601" t="s">
        <v>860</v>
      </c>
      <c r="D109" s="601"/>
      <c r="E109" s="601"/>
      <c r="F109" s="60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646">
        <v>40234</v>
      </c>
      <c r="B110" s="478"/>
      <c r="C110" s="477"/>
      <c r="D110" s="477"/>
      <c r="E110" s="477"/>
      <c r="F110" s="479"/>
    </row>
    <row r="111" spans="1:6" ht="12">
      <c r="A111" s="477"/>
      <c r="B111" s="478"/>
      <c r="C111" s="635" t="s">
        <v>864</v>
      </c>
      <c r="D111" s="635"/>
      <c r="E111" s="635"/>
      <c r="F111" s="635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12" t="str">
        <f>'справка №1-БАЛАНС'!E3</f>
        <v>Б.Л. ЛИЗИНГ АД</v>
      </c>
      <c r="D4" s="618"/>
      <c r="E4" s="618"/>
      <c r="F4" s="578"/>
      <c r="G4" s="580" t="s">
        <v>2</v>
      </c>
      <c r="H4" s="580"/>
      <c r="I4" s="589">
        <f>'справка №1-БАЛАНС'!H3</f>
        <v>175043618</v>
      </c>
    </row>
    <row r="5" spans="1:9" ht="15">
      <c r="A5" s="522" t="s">
        <v>5</v>
      </c>
      <c r="B5" s="579"/>
      <c r="C5" s="612" t="str">
        <f>'справка №1-БАЛАНС'!E5</f>
        <v>01.01.2009 год. - 31.12.2009 год.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464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6"/>
      <c r="C30" s="636"/>
      <c r="D30" s="568" t="s">
        <v>818</v>
      </c>
      <c r="E30" s="637" t="s">
        <v>859</v>
      </c>
      <c r="F30" s="637"/>
      <c r="G30" s="637"/>
      <c r="H30" s="519" t="s">
        <v>780</v>
      </c>
      <c r="I30" s="600" t="s">
        <v>862</v>
      </c>
      <c r="J30" s="600"/>
    </row>
    <row r="31" spans="1:9" s="115" customFormat="1" ht="12">
      <c r="A31" s="645">
        <v>40234</v>
      </c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3" sqref="A15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12" t="str">
        <f>'справка №1-БАЛАНС'!E3</f>
        <v>Б.Л. ЛИЗИНГ АД</v>
      </c>
      <c r="C5" s="617"/>
      <c r="D5" s="587"/>
      <c r="E5" s="353" t="s">
        <v>2</v>
      </c>
      <c r="F5" s="590">
        <f>'справка №1-БАЛАНС'!H3</f>
        <v>175043618</v>
      </c>
    </row>
    <row r="6" spans="1:13" ht="15" customHeight="1">
      <c r="A6" s="54" t="s">
        <v>821</v>
      </c>
      <c r="B6" s="612" t="str">
        <f>'справка №1-БАЛАНС'!E5</f>
        <v>01.01.2009 год. - 31.12.2009 год.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40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 t="s">
        <v>829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831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832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834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835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836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837</v>
      </c>
      <c r="B78" s="69" t="s">
        <v>838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839</v>
      </c>
      <c r="B79" s="69" t="s">
        <v>840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841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829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830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842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832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843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834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844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836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837</v>
      </c>
      <c r="B148" s="69" t="s">
        <v>845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846</v>
      </c>
      <c r="B149" s="69" t="s">
        <v>847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39" t="s">
        <v>860</v>
      </c>
      <c r="D151" s="639"/>
      <c r="E151" s="639"/>
      <c r="F151" s="639"/>
    </row>
    <row r="152" spans="1:6" ht="12.75">
      <c r="A152" s="647">
        <v>40234</v>
      </c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864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2004-04-29T08:37:36Z</cp:lastPrinted>
  <dcterms:created xsi:type="dcterms:W3CDTF">2000-06-29T12:02:40Z</dcterms:created>
  <dcterms:modified xsi:type="dcterms:W3CDTF">2010-03-29T08:00:35Z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