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<sst xmlns="http://schemas.openxmlformats.org/spreadsheetml/2006/main" count="1059" uniqueCount="873">
  <si>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</si>
  <si>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</si>
  <si>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</si>
  <si>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</si>
  <si>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</si>
  <si>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</si>
  <si>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</si>
  <si>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</si>
  <si>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</si>
  <si>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</si>
  <si>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</si>
  <si>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</si>
  <si>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</si>
  <si>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</si>
  <si>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</si>
  <si>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</si>
  <si>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</si>
  <si>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</si>
  <si>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</si>
  <si>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</si>
  <si>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</si>
  <si>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</si>
  <si>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</si>
  <si>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</si>
  <si>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</si>
  <si>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</si>
  <si>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</si>
  <si>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</si>
  <si>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</si>
  <si>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</si>
  <si>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</si>
  <si>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</si>
  <si>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</si>
  <si>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</si>
  <si>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</si>
  <si>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</si>
  <si>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</si>
  <si>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</si>
  <si>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</si>
  <si>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</si>
  <si>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</si>
  <si>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</si>
  <si>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</si>
  <si>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</si>
  <si>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</si>
  <si>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</si>
  <si>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</si>
  <si>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</si>
  <si>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</si>
  <si>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</si>
  <si>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</si>
  <si>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</si>
  <si>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</si>
  <si>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</si>
  <si>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</si>
  <si>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</si>
  <si>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</si>
  <si>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</si>
  <si>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</si>
  <si>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</si>
  <si>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</si>
  <si>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</si>
  <si>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</si>
  <si>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</si>
  <si>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</si>
  <si>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</si>
  <si>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</si>
  <si>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</si>
  <si>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</si>
  <si>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</si>
  <si>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</si>
  <si>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</si>
  <si>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</si>
  <si>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</si>
  <si>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</si>
  <si>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</si>
  <si>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</si>
  <si>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</si>
  <si>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</si>
  <si>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</si>
  <si>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</si>
  <si>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</si>
  <si>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</si>
  <si>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</si>
  <si>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</si>
  <si>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</si>
  <si>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</si>
  <si>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</si>
  <si>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</si>
  <si>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</si>
  <si>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</si>
  <si>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</si>
  <si>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</si>
  <si>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</si>
  <si>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</si>
  <si>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</si>
  <si>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</si>
  <si>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</si>
  <si>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</si>
  <si>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</si>
  <si>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</si>
  <si>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</si>
  <si>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</si>
  <si>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</si>
  <si>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</si>
  <si>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</si>
  <si>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</si>
  <si>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</si>
  <si>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</si>
  <si>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</si>
  <si>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</si>
  <si>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</si>
  <si>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</si>
  <si>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</si>
  <si>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</si>
  <si>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</si>
  <si>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</si>
  <si>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</si>
  <si>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</si>
  <si>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</si>
  <si>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</si>
  <si>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</si>
  <si>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</si>
  <si>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</si>
  <si>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</si>
  <si>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</si>
  <si>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</si>
  <si>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</si>
  <si>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</si>
  <si>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</si>
  <si>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</si>
  <si>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</si>
  <si>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</si>
  <si>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</si>
  <si>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</si>
  <si>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</si>
  <si>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</si>
  <si>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</si>
  <si>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</si>
  <si>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</si>
  <si>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</si>
  <si>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</si>
  <si>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</si>
  <si>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</si>
  <si>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</si>
  <si>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</si>
  <si>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</si>
  <si>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</si>
  <si>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</si>
  <si>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</si>
  <si>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</si>
  <si>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</si>
  <si>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</si>
  <si>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</si>
  <si>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</si>
  <si>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</si>
  <si>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</si>
  <si>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</si>
  <si>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</si>
  <si>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</si>
  <si>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</si>
  <si>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</si>
  <si>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</si>
  <si>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</si>
  <si>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</si>
  <si>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</si>
  <si>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</si>
  <si>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</si>
  <si>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</si>
  <si>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</si>
  <si>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</si>
  <si>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</si>
  <si>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</si>
  <si>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</si>
  <si>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</si>
  <si>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</si>
  <si>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</si>
  <si>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</si>
  <si>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</si>
  <si>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</si>
  <si>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</si>
  <si>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</si>
  <si>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</si>
  <si>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</si>
  <si>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</si>
  <si>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</si>
  <si>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</si>
  <si>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</si>
  <si>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</si>
  <si>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</si>
  <si>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</si>
  <si>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</si>
  <si>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</si>
  <si>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</si>
  <si>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</si>
  <si>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</si>
  <si>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</si>
  <si>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</si>
  <si>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</si>
  <si>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</si>
  <si>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</si>
  <si>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</si>
  <si>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</si>
  <si>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</si>
  <si>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</si>
  <si>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</si>
  <si>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</si>
  <si>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</si>
  <si>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</si>
  <si>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</si>
  <si>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</si>
  <si>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</si>
  <si>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</si>
  <si>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</si>
  <si>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</si>
  <si>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</si>
  <si>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</si>
  <si>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</si>
  <si>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</si>
  <si>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</si>
  <si>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</si>
  <si>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</si>
  <si>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</si>
  <si>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</si>
  <si>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</si>
  <si>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</si>
  <si>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</si>
  <si>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</si>
  <si>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</si>
  <si>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</si>
  <si>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</si>
  <si>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</si>
  <si>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</si>
  <si>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</si>
  <si>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</si>
  <si>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</si>
  <si>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</si>
  <si>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</si>
  <si>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</si>
  <si>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</si>
  <si>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</si>
  <si>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</si>
  <si>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</si>
  <si>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</si>
  <si>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</si>
  <si>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</si>
  <si>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</si>
  <si>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</si>
  <si>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</si>
  <si>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</si>
  <si>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</si>
  <si>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</si>
  <si>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</si>
  <si>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</si>
  <si>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</si>
  <si>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</si>
  <si>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</si>
  <si>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</si>
  <si>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</si>
  <si>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</si>
  <si>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</si>
  <si>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</si>
  <si>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</si>
  <si>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</si>
  <si>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</si>
  <si>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</si>
  <si>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</si>
  <si>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</si>
  <si>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</si>
  <si>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</si>
  <si>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</si>
  <si>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</si>
  <si>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</si>
  <si>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</si>
  <si>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</si>
  <si>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</si>
  <si>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</si>
  <si>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</si>
  <si>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</si>
  <si>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</si>
  <si>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</si>
  <si>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</si>
  <si>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</si>
  <si>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</si>
  <si>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</si>
  <si>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</si>
  <si>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</si>
  <si>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</si>
  <si>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</si>
  <si>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</si>
  <si>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</si>
  <si>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</si>
  <si>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</si>
  <si>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</si>
  <si>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</si>
  <si>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</si>
  <si>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</si>
  <si>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</si>
  <si>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</si>
  <si>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</si>
  <si>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</si>
  <si>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</si>
  <si>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</si>
  <si>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</si>
  <si>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</si>
  <si>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</si>
  <si>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</si>
  <si>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</si>
  <si>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</si>
  <si>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</si>
  <si>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</si>
  <si>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</si>
  <si>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</si>
  <si>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</si>
  <si>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</si>
  <si>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</si>
  <si>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</si>
  <si>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</si>
  <si>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</si>
  <si>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</si>
  <si>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</si>
  <si>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</si>
  <si>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</si>
  <si>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</si>
  <si>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</si>
  <si>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</si>
  <si>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</si>
  <si>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</si>
  <si>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</si>
  <si>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</si>
  <si>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</si>
  <si>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</si>
  <si>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</si>
  <si>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</si>
  <si>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</si>
  <si>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</si>
  <si>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</si>
  <si>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</si>
  <si>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</si>
  <si>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</si>
  <si>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</si>
  <si>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</si>
  <si>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</si>
  <si>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</si>
  <si>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</si>
  <si>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</si>
  <si>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</si>
  <si>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</si>
  <si>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</si>
  <si>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</si>
  <si>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</si>
  <si>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</si>
  <si>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</si>
  <si>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</si>
  <si>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</si>
  <si>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</si>
  <si>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</si>
  <si>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</si>
  <si>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</si>
  <si>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</si>
  <si>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</si>
  <si>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</si>
  <si>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</si>
  <si>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</si>
  <si>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</si>
  <si>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</si>
  <si>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</si>
  <si>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</si>
  <si>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</si>
  <si>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</si>
  <si>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</si>
  <si>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</si>
  <si>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</si>
  <si>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</si>
  <si>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</si>
  <si>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</si>
  <si>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</si>
  <si>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</si>
  <si>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</si>
  <si>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</si>
  <si>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</si>
  <si>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</si>
  <si>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</si>
  <si>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</si>
  <si>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</si>
  <si>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</si>
  <si>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</si>
  <si>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</si>
  <si>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</si>
  <si>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</si>
  <si>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</si>
  <si>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</si>
  <si>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</si>
  <si>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</si>
  <si>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</si>
  <si>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</si>
  <si>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</si>
  <si>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</si>
  <si>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</si>
  <si>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</si>
  <si>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</si>
  <si>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</si>
  <si>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</si>
  <si>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</si>
  <si>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</si>
  <si>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</si>
  <si>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</si>
  <si>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</si>
  <si>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</si>
  <si>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</si>
  <si>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</si>
  <si>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</si>
  <si>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</si>
  <si>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</si>
  <si>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</si>
  <si>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</si>
  <si>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</si>
  <si>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</si>
  <si>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</si>
  <si>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</si>
  <si>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</si>
  <si>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</si>
  <si>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</si>
  <si>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</si>
  <si>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</si>
  <si>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</si>
  <si>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</si>
  <si>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</si>
  <si>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</si>
  <si>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</si>
  <si>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</si>
  <si>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</si>
  <si>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</si>
  <si>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</si>
  <si>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</si>
  <si>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</si>
  <si>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</si>
  <si>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</si>
  <si>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</si>
  <si>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</si>
  <si>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</si>
  <si>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</si>
  <si>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</si>
  <si>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</si>
  <si>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</si>
  <si>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</si>
  <si>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</si>
  <si>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</si>
  <si>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</si>
  <si>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</si>
  <si>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</si>
  <si>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</si>
  <si>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</si>
  <si>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</si>
  <si>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</si>
  <si>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</si>
  <si>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</si>
  <si>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</si>
  <si>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</si>
  <si>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</si>
  <si>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</si>
  <si>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</si>
  <si>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</si>
  <si>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</si>
  <si>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</si>
  <si>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</si>
  <si>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</si>
  <si>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</si>
  <si>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</si>
  <si>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</si>
  <si>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</si>
  <si>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</si>
  <si>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</si>
  <si>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</si>
  <si>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</si>
  <si>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</si>
  <si>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</si>
  <si>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</si>
  <si>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</si>
  <si>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</si>
  <si>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</si>
  <si>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</si>
  <si>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</si>
  <si>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</si>
  <si>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</si>
  <si>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</si>
  <si>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</si>
  <si>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</si>
  <si>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</si>
  <si>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</si>
  <si>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</si>
  <si>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</si>
  <si>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</si>
  <si>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</si>
  <si>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</si>
  <si>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</si>
  <si>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</si>
  <si>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</si>
  <si>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</si>
  <si>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</si>
  <si>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</si>
  <si>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</si>
  <si>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</si>
  <si>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</si>
  <si>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</si>
  <si>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</si>
  <si>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</si>
  <si>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</si>
  <si>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</si>
  <si>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</si>
  <si>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</si>
  <si>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</si>
  <si>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</si>
  <si>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</si>
  <si>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</si>
  <si>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</si>
  <si>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</si>
  <si>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</si>
  <si>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</si>
  <si>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</si>
  <si>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</si>
  <si>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</si>
  <si>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</si>
  <si>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</si>
  <si>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</si>
  <si>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</si>
  <si>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</si>
  <si>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</si>
  <si>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</si>
  <si>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</si>
  <si>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</si>
  <si>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</si>
  <si>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</si>
  <si>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</si>
  <si>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</si>
  <si>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</si>
  <si>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</si>
  <si>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</si>
  <si>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</si>
  <si>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</si>
  <si>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</si>
  <si>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</si>
  <si>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</si>
  <si>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</si>
  <si>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</si>
  <si>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</si>
  <si>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</si>
  <si>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</si>
  <si>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</si>
  <si>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</si>
  <si>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</si>
  <si>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</si>
  <si>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</si>
  <si>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</si>
  <si>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</si>
  <si>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</si>
  <si>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</si>
  <si>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</si>
  <si>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</si>
  <si>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</si>
  <si>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</si>
  <si>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</si>
  <si>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</si>
  <si>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</si>
  <si>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</si>
  <si>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</si>
  <si>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</si>
  <si>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</si>
  <si>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</si>
  <si>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</si>
  <si>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</si>
  <si>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</si>
  <si>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</si>
  <si>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</si>
  <si>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</si>
  <si>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</si>
  <si>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</si>
  <si>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</si>
  <si>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</si>
  <si>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</si>
  <si>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</si>
  <si>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</si>
  <si>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</si>
  <si>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</si>
  <si>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</si>
  <si>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</si>
  <si>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</si>
  <si>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</si>
  <si>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</si>
  <si>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</si>
  <si>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</si>
  <si>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</si>
  <si>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</si>
  <si>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</si>
  <si>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</si>
  <si>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</si>
  <si>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</si>
  <si>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</si>
  <si>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</si>
  <si>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</si>
  <si>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</si>
  <si>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</si>
  <si>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</si>
  <si>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</si>
  <si>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</si>
  <si>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</si>
  <si>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</si>
  <si>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</si>
  <si>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</si>
  <si>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</si>
  <si>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</si>
  <si>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</si>
  <si>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</si>
  <si>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</si>
  <si>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</si>
  <si>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</si>
  <si>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</si>
  <si>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</si>
  <si>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</si>
  <si>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</si>
  <si>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</si>
  <si>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</si>
  <si>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</si>
  <si>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</si>
  <si>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</si>
  <si>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</si>
  <si>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</si>
  <si>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</si>
  <si>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</si>
  <si>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</si>
  <si>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</si>
  <si>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</si>
  <si>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</si>
  <si>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</si>
  <si>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</si>
  <si>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</si>
  <si>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</si>
  <si>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</si>
  <si>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</si>
  <si>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</si>
  <si>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</si>
  <si>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</si>
  <si>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</si>
  <si>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</si>
  <si>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</si>
  <si>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</si>
  <si>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</si>
  <si>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</si>
  <si>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</si>
  <si>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</si>
  <si>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</si>
  <si>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</si>
  <si>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</si>
  <si>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</si>
  <si>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</si>
  <si>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</si>
  <si>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</si>
  <si>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</si>
  <si>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</si>
  <si>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</si>
  <si>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</si>
  <si>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</si>
  <si>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</si>
  <si>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</si>
  <si>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</si>
  <si>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</si>
  <si>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</si>
  <si>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</si>
  <si>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</si>
  <si>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</si>
  <si>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</si>
  <si>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</si>
  <si>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</si>
  <si>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</si>
  <si>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</si>
  <si>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</si>
  <si>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</si>
  <si>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</si>
  <si>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</si>
  <si>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</si>
  <si>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</si>
  <si>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</si>
  <si>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</si>
  <si>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</si>
  <si>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</si>
  <si>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</si>
  <si>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</si>
  <si>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</si>
  <si>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</si>
  <si>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</si>
  <si>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</si>
  <si>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</si>
  <si>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</si>
  <si>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</si>
  <si>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</si>
  <si>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</si>
  <si>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</si>
  <si>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</si>
  <si>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</si>
  <si>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</si>
  <si>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</si>
  <si>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</si>
  <si>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</si>
  <si>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</si>
  <si>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</si>
  <si>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</si>
  <si>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</si>
  <si>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</si>
  <si>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</si>
  <si>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</si>
  <si>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</si>
  <si>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</si>
  <si>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</si>
  <si>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</si>
  <si>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</si>
  <si>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</si>
  <si>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</si>
  <si>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</si>
  <si>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</si>
  <si>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</si>
  <si>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</si>
  <si>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</si>
  <si>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</si>
  <si>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</si>
  <si>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</si>
  <si>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</si>
  <si>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</si>
  <si>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</si>
  <si>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</si>
  <si>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</si>
  <si>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</si>
  <si>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</si>
  <si>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</si>
  <si>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</si>
  <si>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</si>
  <si>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</si>
  <si>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</si>
  <si>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</si>
  <si>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</si>
  <si>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</si>
  <si>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</si>
  <si>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</si>
  <si>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</si>
  <si>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</si>
  <si>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</si>
  <si>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</si>
  <si>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</si>
  <si>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</si>
  <si>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</si>
  <si>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</si>
  <si>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</si>
  <si>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</si>
  <si>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</si>
  <si>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</si>
  <si>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</si>
  <si>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</si>
  <si>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</si>
  <si>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</si>
  <si>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</si>
  <si>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</si>
  <si>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</si>
  <si>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</si>
  <si>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</si>
  <si>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</si>
  <si>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</si>
  <si>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</si>
  <si>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</si>
  <si>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</si>
  <si>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</si>
  <si>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</si>
  <si>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</si>
  <si>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</si>
  <si>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</si>
  <si>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</si>
  <si>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</si>
  <si>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</si>
  <si>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</si>
  <si>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</si>
  <si>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</si>
  <si>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</si>
  <si>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</si>
  <si>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</si>
  <si>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</si>
  <si>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</si>
  <si>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</si>
  <si>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</si>
  <si>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</si>
  <si>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</si>
  <si>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</si>
  <si>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</si>
  <si>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</si>
  <si>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</si>
  <si>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</si>
  <si>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</si>
  <si>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</si>
  <si>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</si>
  <si>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</si>
  <si>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</si>
  <si>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</si>
  <si>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</si>
  <si>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</si>
  <si>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</si>
  <si>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</si>
  <si>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</si>
  <si>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</si>
  <si>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</si>
  <si>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</si>
  <si>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</si>
  <si>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</si>
  <si>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</si>
  <si>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</si>
  <si>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</si>
  <si>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</si>
  <si>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</si>
  <si>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</si>
  <si>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</si>
  <si>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</si>
  <si>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</si>
  <si>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</si>
  <si>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</si>
  <si>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</si>
  <si>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</si>
  <si>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</si>
  <si>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</si>
  <si>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</si>
  <si>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</si>
  <si>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</si>
  <si>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</si>
  <si>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</si>
  <si>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</si>
  <si>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</si>
  <si>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</si>
  <si>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</si>
  <si>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</si>
  <si>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</si>
  <si>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</si>
  <si>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</si>
  <si>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</si>
  <si>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</si>
  <si>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</si>
  <si>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</si>
  <si>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</si>
  <si>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</si>
  <si>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</si>
  <si>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</si>
  <si>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</si>
  <si>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</si>
  <si>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</si>
  <si>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</si>
  <si>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</si>
  <si>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</si>
  <si>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</si>
  <si>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</si>
  <si>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</si>
  <si>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</si>
  <si>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</si>
  <si>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</si>
  <si>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</si>
  <si>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</si>
  <si>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</si>
  <si>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</si>
  <si>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</si>
  <si>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</si>
  <si>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</si>
  <si>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</si>
  <si>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</si>
  <si>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</si>
  <si>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</si>
  <si>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</si>
  <si>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</si>
  <si>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</si>
  <si>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</si>
  <si>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12.2009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</si>
</sst>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horizontal="left" vertical="top" wrapText="1"/>
      <protection locked="0"/>
    </xf>
    <xf numFmtId="1" fontId="9" fillId="3" borderId="5" xfId="27" applyNumberFormat="1" applyFont="1" applyFill="1" applyBorder="1" applyAlignment="1" applyProtection="1">
      <alignment vertical="top" wrapText="1"/>
      <protection locked="0"/>
    </xf>
    <xf numFmtId="1" fontId="9" fillId="7" borderId="25" xfId="27" applyNumberFormat="1" applyFont="1" applyFill="1" applyBorder="1" applyAlignment="1" applyProtection="1">
      <alignment vertical="top" wrapText="1"/>
      <protection locked="0"/>
    </xf>
    <xf numFmtId="1" fontId="9" fillId="3" borderId="25" xfId="27" applyNumberFormat="1" applyFont="1" applyFill="1" applyBorder="1" applyAlignment="1" applyProtection="1">
      <alignment vertical="top" wrapText="1"/>
      <protection locked="0"/>
    </xf>
    <xf numFmtId="1" fontId="9" fillId="4" borderId="25" xfId="27" applyNumberFormat="1" applyFont="1" applyFill="1" applyBorder="1" applyAlignment="1" applyProtection="1">
      <alignment vertical="top" wrapText="1"/>
      <protection locked="0"/>
    </xf>
    <xf numFmtId="1" fontId="11" fillId="3" borderId="7" xfId="29" applyNumberFormat="1" applyFont="1" applyFill="1" applyBorder="1" applyAlignment="1" applyProtection="1">
      <alignment vertical="center"/>
      <protection locked="0"/>
    </xf>
    <xf numFmtId="1" fontId="11" fillId="4" borderId="7" xfId="29" applyNumberFormat="1" applyFont="1" applyFill="1" applyBorder="1" applyAlignment="1" applyProtection="1">
      <alignment vertical="center"/>
      <protection locked="0"/>
    </xf>
    <xf numFmtId="1" fontId="10" fillId="4" borderId="7" xfId="29" applyNumberFormat="1" applyFont="1" applyFill="1" applyBorder="1" applyAlignment="1" applyProtection="1">
      <alignment vertical="center"/>
      <protection locked="0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C59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9" t="s">
        <v>1</v>
      </c>
      <c r="B3" s="590"/>
      <c r="C3" s="590"/>
      <c r="D3" s="590"/>
      <c r="E3" s="573" t="s">
        <v>869</v>
      </c>
      <c r="F3" s="217" t="s">
        <v>2</v>
      </c>
      <c r="G3" s="172"/>
      <c r="H3" s="574">
        <v>111028849</v>
      </c>
    </row>
    <row r="4" spans="1:8" ht="15">
      <c r="A4" s="589" t="s">
        <v>3</v>
      </c>
      <c r="B4" s="588"/>
      <c r="C4" s="588"/>
      <c r="D4" s="588"/>
      <c r="E4" s="573" t="s">
        <v>870</v>
      </c>
      <c r="F4" s="584" t="s">
        <v>4</v>
      </c>
      <c r="G4" s="585"/>
      <c r="H4" s="461" t="s">
        <v>159</v>
      </c>
    </row>
    <row r="5" spans="1:8" ht="15">
      <c r="A5" s="589" t="s">
        <v>5</v>
      </c>
      <c r="B5" s="590"/>
      <c r="C5" s="590"/>
      <c r="D5" s="590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577">
        <v>6997</v>
      </c>
      <c r="D11" s="151">
        <v>6861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577">
        <v>22522</v>
      </c>
      <c r="D12" s="151">
        <v>18640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577">
        <v>26300</v>
      </c>
      <c r="D13" s="151">
        <v>33307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577">
        <v>19511</v>
      </c>
      <c r="D14" s="151">
        <v>1769</v>
      </c>
      <c r="E14" s="243" t="s">
        <v>34</v>
      </c>
      <c r="F14" s="242" t="s">
        <v>35</v>
      </c>
      <c r="G14" s="578">
        <v>-1050</v>
      </c>
      <c r="H14" s="316">
        <v>-467</v>
      </c>
    </row>
    <row r="15" spans="1:8" ht="15">
      <c r="A15" s="235" t="s">
        <v>36</v>
      </c>
      <c r="B15" s="241" t="s">
        <v>37</v>
      </c>
      <c r="C15" s="577">
        <v>2604</v>
      </c>
      <c r="D15" s="151">
        <v>2306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577">
        <v>1751</v>
      </c>
      <c r="D16" s="151">
        <v>2062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577">
        <v>18910</v>
      </c>
      <c r="D17" s="151">
        <v>23978</v>
      </c>
      <c r="E17" s="243" t="s">
        <v>46</v>
      </c>
      <c r="F17" s="245" t="s">
        <v>47</v>
      </c>
      <c r="G17" s="154">
        <f>G11+G14+G15+G16</f>
        <v>37950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577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98595</v>
      </c>
      <c r="D19" s="155">
        <f>SUM(D11:D18)</f>
        <v>88923</v>
      </c>
      <c r="E19" s="237" t="s">
        <v>53</v>
      </c>
      <c r="F19" s="242" t="s">
        <v>54</v>
      </c>
      <c r="G19" s="579">
        <v>22619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35608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579">
        <v>35608</v>
      </c>
      <c r="H22" s="152">
        <v>9792</v>
      </c>
    </row>
    <row r="23" spans="1:13" ht="15">
      <c r="A23" s="235" t="s">
        <v>66</v>
      </c>
      <c r="B23" s="241" t="s">
        <v>67</v>
      </c>
      <c r="C23" s="577">
        <v>41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577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577"/>
      <c r="D25" s="151"/>
      <c r="E25" s="253" t="s">
        <v>76</v>
      </c>
      <c r="F25" s="245" t="s">
        <v>77</v>
      </c>
      <c r="G25" s="154">
        <f>G19+G20+G21</f>
        <v>65307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577">
        <v>4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54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-465</v>
      </c>
      <c r="H27" s="154">
        <f>SUM(H28:H30)</f>
        <v>-313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578">
        <v>-465</v>
      </c>
      <c r="H29" s="316">
        <v>-313</v>
      </c>
      <c r="M29" s="157"/>
    </row>
    <row r="30" spans="1:8" ht="15">
      <c r="A30" s="235" t="s">
        <v>90</v>
      </c>
      <c r="B30" s="241" t="s">
        <v>91</v>
      </c>
      <c r="C30" s="577">
        <v>675</v>
      </c>
      <c r="D30" s="151">
        <v>519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579">
        <v>15450</v>
      </c>
      <c r="H31" s="152">
        <v>26143</v>
      </c>
      <c r="M31" s="157"/>
    </row>
    <row r="32" spans="1:15" ht="15">
      <c r="A32" s="235" t="s">
        <v>98</v>
      </c>
      <c r="B32" s="250" t="s">
        <v>99</v>
      </c>
      <c r="C32" s="155">
        <f>C30+C31</f>
        <v>675</v>
      </c>
      <c r="D32" s="155">
        <f>D30+D31</f>
        <v>519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14985</v>
      </c>
      <c r="H33" s="154">
        <f>H27+H31+H32</f>
        <v>25830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8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118242</v>
      </c>
      <c r="H36" s="154">
        <f>H25+H17+H33</f>
        <v>105995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577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580">
        <v>827</v>
      </c>
      <c r="H39" s="158">
        <v>487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579">
        <v>7</v>
      </c>
      <c r="H43" s="152">
        <v>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579">
        <v>33894</v>
      </c>
      <c r="H44" s="152">
        <f>24428-2981</f>
        <v>21447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8</v>
      </c>
      <c r="E45" s="251" t="s">
        <v>138</v>
      </c>
      <c r="F45" s="242" t="s">
        <v>139</v>
      </c>
      <c r="G45" s="579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579">
        <v>2604</v>
      </c>
      <c r="H46" s="152">
        <f>1918-332</f>
        <v>1586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579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579"/>
      <c r="H48" s="152">
        <v>55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36505</v>
      </c>
      <c r="H49" s="154">
        <f>SUM(H43:H48)</f>
        <v>23095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579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579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579">
        <v>2468</v>
      </c>
      <c r="H53" s="152">
        <v>2160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579">
        <v>25</v>
      </c>
      <c r="H54" s="152">
        <v>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99332</v>
      </c>
      <c r="D55" s="155">
        <f>D19+D20+D21+D27+D32+D45+D51+D53+D54</f>
        <v>89491</v>
      </c>
      <c r="E55" s="237" t="s">
        <v>172</v>
      </c>
      <c r="F55" s="261" t="s">
        <v>173</v>
      </c>
      <c r="G55" s="154">
        <f>G49+G51+G52+G53+G54</f>
        <v>38998</v>
      </c>
      <c r="H55" s="154">
        <f>H49+H51+H52+H53+H54</f>
        <v>25280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577">
        <v>11173</v>
      </c>
      <c r="D58" s="151">
        <v>5757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577">
        <v>3238</v>
      </c>
      <c r="D59" s="151">
        <v>3352</v>
      </c>
      <c r="E59" s="251" t="s">
        <v>181</v>
      </c>
      <c r="F59" s="242" t="s">
        <v>182</v>
      </c>
      <c r="G59" s="579">
        <v>6405</v>
      </c>
      <c r="H59" s="152">
        <v>8848</v>
      </c>
      <c r="M59" s="157"/>
    </row>
    <row r="60" spans="1:8" ht="15">
      <c r="A60" s="235" t="s">
        <v>183</v>
      </c>
      <c r="B60" s="241" t="s">
        <v>184</v>
      </c>
      <c r="C60" s="577">
        <v>101</v>
      </c>
      <c r="D60" s="151">
        <v>74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577">
        <v>26349</v>
      </c>
      <c r="D61" s="151">
        <v>25852</v>
      </c>
      <c r="E61" s="243" t="s">
        <v>189</v>
      </c>
      <c r="F61" s="272" t="s">
        <v>190</v>
      </c>
      <c r="G61" s="154">
        <f>SUM(G62:G68)</f>
        <v>18926</v>
      </c>
      <c r="H61" s="154">
        <f>SUM(H62:H68)</f>
        <v>12551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577"/>
      <c r="D62" s="151"/>
      <c r="E62" s="243" t="s">
        <v>193</v>
      </c>
      <c r="F62" s="242" t="s">
        <v>194</v>
      </c>
      <c r="G62" s="579">
        <f>180+2</f>
        <v>182</v>
      </c>
      <c r="H62" s="152">
        <v>239</v>
      </c>
    </row>
    <row r="63" spans="1:13" ht="15">
      <c r="A63" s="235" t="s">
        <v>195</v>
      </c>
      <c r="B63" s="241" t="s">
        <v>196</v>
      </c>
      <c r="C63" s="577">
        <v>33</v>
      </c>
      <c r="D63" s="151"/>
      <c r="E63" s="237" t="s">
        <v>197</v>
      </c>
      <c r="F63" s="242" t="s">
        <v>198</v>
      </c>
      <c r="G63" s="579">
        <v>45</v>
      </c>
      <c r="H63" s="152">
        <v>338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40894</v>
      </c>
      <c r="D64" s="155">
        <f>SUM(D58:D63)</f>
        <v>35035</v>
      </c>
      <c r="E64" s="237" t="s">
        <v>200</v>
      </c>
      <c r="F64" s="242" t="s">
        <v>201</v>
      </c>
      <c r="G64" s="579">
        <f>16823-50</f>
        <v>16773</v>
      </c>
      <c r="H64" s="152">
        <f>9399-475-11</f>
        <v>8913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579">
        <v>115</v>
      </c>
      <c r="H65" s="152">
        <v>475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579">
        <v>419</v>
      </c>
      <c r="H66" s="152">
        <v>676</v>
      </c>
    </row>
    <row r="67" spans="1:8" ht="15">
      <c r="A67" s="235" t="s">
        <v>207</v>
      </c>
      <c r="B67" s="241" t="s">
        <v>208</v>
      </c>
      <c r="C67" s="577">
        <f>7980-46</f>
        <v>7934</v>
      </c>
      <c r="D67" s="151">
        <v>3647</v>
      </c>
      <c r="E67" s="237" t="s">
        <v>209</v>
      </c>
      <c r="F67" s="242" t="s">
        <v>210</v>
      </c>
      <c r="G67" s="579">
        <v>416</v>
      </c>
      <c r="H67" s="152">
        <v>520</v>
      </c>
    </row>
    <row r="68" spans="1:8" ht="15">
      <c r="A68" s="235" t="s">
        <v>211</v>
      </c>
      <c r="B68" s="241" t="s">
        <v>212</v>
      </c>
      <c r="C68" s="577">
        <f>24014-2</f>
        <v>24012</v>
      </c>
      <c r="D68" s="151">
        <f>17906-683+22</f>
        <v>17245</v>
      </c>
      <c r="E68" s="237" t="s">
        <v>213</v>
      </c>
      <c r="F68" s="242" t="s">
        <v>214</v>
      </c>
      <c r="G68" s="579">
        <v>976</v>
      </c>
      <c r="H68" s="152">
        <v>1390</v>
      </c>
    </row>
    <row r="69" spans="1:8" ht="15">
      <c r="A69" s="235" t="s">
        <v>215</v>
      </c>
      <c r="B69" s="241" t="s">
        <v>216</v>
      </c>
      <c r="C69" s="577">
        <v>338</v>
      </c>
      <c r="D69" s="151">
        <f>24+145+475+39</f>
        <v>683</v>
      </c>
      <c r="E69" s="251" t="s">
        <v>78</v>
      </c>
      <c r="F69" s="242" t="s">
        <v>217</v>
      </c>
      <c r="G69" s="579">
        <v>1749</v>
      </c>
      <c r="H69" s="152">
        <v>1266</v>
      </c>
    </row>
    <row r="70" spans="1:8" ht="15">
      <c r="A70" s="235" t="s">
        <v>218</v>
      </c>
      <c r="B70" s="241" t="s">
        <v>219</v>
      </c>
      <c r="C70" s="577">
        <v>2461</v>
      </c>
      <c r="D70" s="151">
        <v>638</v>
      </c>
      <c r="E70" s="237" t="s">
        <v>220</v>
      </c>
      <c r="F70" s="242" t="s">
        <v>221</v>
      </c>
      <c r="G70" s="579">
        <v>111</v>
      </c>
      <c r="H70" s="152">
        <v>88</v>
      </c>
    </row>
    <row r="71" spans="1:18" ht="15">
      <c r="A71" s="235" t="s">
        <v>222</v>
      </c>
      <c r="B71" s="241" t="s">
        <v>223</v>
      </c>
      <c r="C71" s="577">
        <v>5</v>
      </c>
      <c r="D71" s="151">
        <v>15</v>
      </c>
      <c r="E71" s="253" t="s">
        <v>46</v>
      </c>
      <c r="F71" s="273" t="s">
        <v>224</v>
      </c>
      <c r="G71" s="161">
        <f>G59+G60+G61+G69+G70</f>
        <v>27191</v>
      </c>
      <c r="H71" s="161">
        <f>H59+H60+H61+H69+H70</f>
        <v>22753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577">
        <v>2860</v>
      </c>
      <c r="D72" s="151">
        <v>2132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577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577">
        <v>734</v>
      </c>
      <c r="D74" s="151">
        <v>816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38344</v>
      </c>
      <c r="D75" s="155">
        <f>SUM(D67:D74)</f>
        <v>25176</v>
      </c>
      <c r="E75" s="251" t="s">
        <v>160</v>
      </c>
      <c r="F75" s="245" t="s">
        <v>234</v>
      </c>
      <c r="G75" s="152"/>
      <c r="H75" s="152">
        <f>206-183</f>
        <v>23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579">
        <v>186</v>
      </c>
      <c r="H76" s="152">
        <v>183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27377</v>
      </c>
      <c r="H79" s="162">
        <f>H71+H74+H75+H76</f>
        <v>22959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577">
        <v>6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577">
        <v>84</v>
      </c>
      <c r="D87" s="151">
        <v>59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577">
        <v>5603</v>
      </c>
      <c r="D88" s="151">
        <v>4434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577">
        <v>153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577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5840</v>
      </c>
      <c r="D91" s="155">
        <f>SUM(D87:D90)</f>
        <v>4634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577">
        <v>1028</v>
      </c>
      <c r="D92" s="151">
        <v>385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86112</v>
      </c>
      <c r="D93" s="155">
        <f>D64+D75+D84+D91+D92</f>
        <v>65230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185444</v>
      </c>
      <c r="D94" s="164">
        <f>D93+D55</f>
        <v>154721</v>
      </c>
      <c r="E94" s="449" t="s">
        <v>270</v>
      </c>
      <c r="F94" s="289" t="s">
        <v>271</v>
      </c>
      <c r="G94" s="165">
        <f>G36+G39+G55+G79</f>
        <v>185444</v>
      </c>
      <c r="H94" s="165">
        <f>H36+H39+H55+H79</f>
        <v>154721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576">
        <f>+G94-C94</f>
        <v>0</v>
      </c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13">
      <selection activeCell="C9" sqref="C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3" t="str">
        <f>'справка №1-БАЛАНС'!E3</f>
        <v>"МОНБАТ" АД</v>
      </c>
      <c r="C2" s="593"/>
      <c r="D2" s="593"/>
      <c r="E2" s="593"/>
      <c r="F2" s="595" t="s">
        <v>2</v>
      </c>
      <c r="G2" s="595"/>
      <c r="H2" s="524">
        <f>'справка №1-БАЛАНС'!H3</f>
        <v>111028849</v>
      </c>
    </row>
    <row r="3" spans="1:8" ht="15">
      <c r="A3" s="466" t="s">
        <v>275</v>
      </c>
      <c r="B3" s="593" t="str">
        <f>'справка №1-БАЛАНС'!E4</f>
        <v>консолидиран</v>
      </c>
      <c r="C3" s="593"/>
      <c r="D3" s="593"/>
      <c r="E3" s="593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94" t="str">
        <f>'справка №1-БАЛАНС'!E5</f>
        <v>12.2009 г.</v>
      </c>
      <c r="C4" s="594"/>
      <c r="D4" s="594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581">
        <f>65288+2339</f>
        <v>67627</v>
      </c>
      <c r="D9" s="46">
        <v>97433</v>
      </c>
      <c r="E9" s="298" t="s">
        <v>285</v>
      </c>
      <c r="F9" s="547" t="s">
        <v>286</v>
      </c>
      <c r="G9" s="548">
        <v>109125</v>
      </c>
      <c r="H9" s="548">
        <v>157658</v>
      </c>
    </row>
    <row r="10" spans="1:8" ht="12">
      <c r="A10" s="298" t="s">
        <v>287</v>
      </c>
      <c r="B10" s="299" t="s">
        <v>288</v>
      </c>
      <c r="C10" s="581">
        <v>10713</v>
      </c>
      <c r="D10" s="46">
        <v>12503</v>
      </c>
      <c r="E10" s="298" t="s">
        <v>289</v>
      </c>
      <c r="F10" s="547" t="s">
        <v>290</v>
      </c>
      <c r="G10" s="548">
        <v>237</v>
      </c>
      <c r="H10" s="548">
        <v>787</v>
      </c>
    </row>
    <row r="11" spans="1:8" ht="12">
      <c r="A11" s="298" t="s">
        <v>291</v>
      </c>
      <c r="B11" s="299" t="s">
        <v>292</v>
      </c>
      <c r="C11" s="581">
        <v>4796</v>
      </c>
      <c r="D11" s="46">
        <v>4108</v>
      </c>
      <c r="E11" s="300" t="s">
        <v>293</v>
      </c>
      <c r="F11" s="547" t="s">
        <v>294</v>
      </c>
      <c r="G11" s="548">
        <v>1729</v>
      </c>
      <c r="H11" s="548">
        <v>972</v>
      </c>
    </row>
    <row r="12" spans="1:8" ht="12">
      <c r="A12" s="298" t="s">
        <v>295</v>
      </c>
      <c r="B12" s="299" t="s">
        <v>296</v>
      </c>
      <c r="C12" s="581">
        <v>7772</v>
      </c>
      <c r="D12" s="46">
        <v>10472</v>
      </c>
      <c r="E12" s="300" t="s">
        <v>78</v>
      </c>
      <c r="F12" s="547" t="s">
        <v>297</v>
      </c>
      <c r="G12" s="548">
        <v>3903</v>
      </c>
      <c r="H12" s="548">
        <v>4564</v>
      </c>
    </row>
    <row r="13" spans="1:18" ht="12">
      <c r="A13" s="298" t="s">
        <v>298</v>
      </c>
      <c r="B13" s="299" t="s">
        <v>299</v>
      </c>
      <c r="C13" s="581">
        <v>1747</v>
      </c>
      <c r="D13" s="46">
        <v>2293</v>
      </c>
      <c r="E13" s="301" t="s">
        <v>51</v>
      </c>
      <c r="F13" s="549" t="s">
        <v>300</v>
      </c>
      <c r="G13" s="546">
        <f>SUM(G9:G12)</f>
        <v>114994</v>
      </c>
      <c r="H13" s="546">
        <f>SUM(H9:H12)</f>
        <v>163981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581">
        <f>3775-2339</f>
        <v>1436</v>
      </c>
      <c r="D14" s="46">
        <v>3780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582">
        <v>90</v>
      </c>
      <c r="D15" s="47">
        <v>-224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582">
        <v>1424</v>
      </c>
      <c r="D16" s="47">
        <v>3069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95605</v>
      </c>
      <c r="D19" s="49">
        <f>SUM(D9:D15)+D16</f>
        <v>133434</v>
      </c>
      <c r="E19" s="304" t="s">
        <v>317</v>
      </c>
      <c r="F19" s="550" t="s">
        <v>318</v>
      </c>
      <c r="G19" s="548">
        <v>568</v>
      </c>
      <c r="H19" s="548">
        <v>177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581">
        <v>1561</v>
      </c>
      <c r="D22" s="46">
        <v>1545</v>
      </c>
      <c r="E22" s="304" t="s">
        <v>326</v>
      </c>
      <c r="F22" s="550" t="s">
        <v>327</v>
      </c>
      <c r="G22" s="548">
        <v>394</v>
      </c>
      <c r="H22" s="548">
        <v>1108</v>
      </c>
    </row>
    <row r="23" spans="1:8" ht="24">
      <c r="A23" s="298" t="s">
        <v>328</v>
      </c>
      <c r="B23" s="305" t="s">
        <v>329</v>
      </c>
      <c r="C23" s="581"/>
      <c r="D23" s="46"/>
      <c r="E23" s="298" t="s">
        <v>330</v>
      </c>
      <c r="F23" s="550" t="s">
        <v>331</v>
      </c>
      <c r="G23" s="548">
        <v>2</v>
      </c>
      <c r="H23" s="548"/>
    </row>
    <row r="24" spans="1:18" ht="12">
      <c r="A24" s="298" t="s">
        <v>332</v>
      </c>
      <c r="B24" s="305" t="s">
        <v>333</v>
      </c>
      <c r="C24" s="581">
        <v>539</v>
      </c>
      <c r="D24" s="46">
        <v>309</v>
      </c>
      <c r="E24" s="301" t="s">
        <v>103</v>
      </c>
      <c r="F24" s="552" t="s">
        <v>334</v>
      </c>
      <c r="G24" s="546">
        <f>SUM(G19:G23)</f>
        <v>964</v>
      </c>
      <c r="H24" s="546">
        <f>SUM(H19:H23)</f>
        <v>1285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581">
        <v>700</v>
      </c>
      <c r="D25" s="46">
        <v>539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2800</v>
      </c>
      <c r="D26" s="49">
        <f>SUM(D22:D25)</f>
        <v>2393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98405</v>
      </c>
      <c r="D28" s="50">
        <f>D26+D19</f>
        <v>135827</v>
      </c>
      <c r="E28" s="127" t="s">
        <v>339</v>
      </c>
      <c r="F28" s="552" t="s">
        <v>340</v>
      </c>
      <c r="G28" s="546">
        <f>G13+G15+G24</f>
        <v>115958</v>
      </c>
      <c r="H28" s="546">
        <f>H13+H15+H24</f>
        <v>165266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17553</v>
      </c>
      <c r="D30" s="50">
        <f>IF((H28-D28)&gt;0,H28-D28,0)</f>
        <v>29439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98405</v>
      </c>
      <c r="D33" s="49">
        <f>D28-D31+D32</f>
        <v>135827</v>
      </c>
      <c r="E33" s="127" t="s">
        <v>353</v>
      </c>
      <c r="F33" s="552" t="s">
        <v>354</v>
      </c>
      <c r="G33" s="53">
        <f>G32-G31+G28</f>
        <v>115958</v>
      </c>
      <c r="H33" s="53">
        <f>H32-H31+H28</f>
        <v>165266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17553</v>
      </c>
      <c r="D34" s="50">
        <f>IF((H33-D33)&gt;0,H33-D33,0)</f>
        <v>29439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2007</v>
      </c>
      <c r="D35" s="49">
        <f>D36+D37+D38</f>
        <v>3210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581">
        <v>1698</v>
      </c>
      <c r="D36" s="46">
        <v>2839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583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>
        <v>309</v>
      </c>
      <c r="D38" s="126">
        <v>371</v>
      </c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15546</v>
      </c>
      <c r="D39" s="460">
        <f>+IF((H33-D33-D35)&gt;0,H33-D33-D35,0)</f>
        <v>26229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126">
        <v>96</v>
      </c>
      <c r="D40" s="51">
        <v>86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15450</v>
      </c>
      <c r="D41" s="52">
        <f>IF(H39=0,IF(D39-D40&gt;0,D39-D40+H40,0),IF(H39-H40&lt;0,H40-H39+D39,0))</f>
        <v>26143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115958</v>
      </c>
      <c r="D42" s="53">
        <f>D33+D35+D39</f>
        <v>165266</v>
      </c>
      <c r="E42" s="128" t="s">
        <v>380</v>
      </c>
      <c r="F42" s="129" t="s">
        <v>381</v>
      </c>
      <c r="G42" s="53">
        <f>G39+G33</f>
        <v>115958</v>
      </c>
      <c r="H42" s="53">
        <f>H39+H33</f>
        <v>165266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6" t="s">
        <v>867</v>
      </c>
      <c r="B45" s="596"/>
      <c r="C45" s="596"/>
      <c r="D45" s="596"/>
      <c r="E45" s="596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91"/>
      <c r="E48" s="591"/>
      <c r="F48" s="591"/>
      <c r="G48" s="591"/>
      <c r="H48" s="59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92"/>
      <c r="E50" s="592"/>
      <c r="F50" s="592"/>
      <c r="G50" s="592"/>
      <c r="H50" s="592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12">
      <selection activeCell="C57" sqref="C5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12.2009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99735</v>
      </c>
      <c r="D10" s="54">
        <v>166324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-79177</v>
      </c>
      <c r="D11" s="54">
        <v>-126467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-10544</v>
      </c>
      <c r="D13" s="54">
        <v>-11715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6634</v>
      </c>
      <c r="D14" s="54">
        <v>7819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-2181</v>
      </c>
      <c r="D15" s="54">
        <v>-2560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f>-9</f>
        <v>-9</v>
      </c>
      <c r="D17" s="54">
        <v>-142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33</v>
      </c>
      <c r="D18" s="54">
        <v>-159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f>-885+29</f>
        <v>-856</v>
      </c>
      <c r="D19" s="54">
        <v>-878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13643</v>
      </c>
      <c r="D20" s="55">
        <f>SUM(D10:D19)</f>
        <v>32222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f>-11716+29</f>
        <v>-11687</v>
      </c>
      <c r="D22" s="54">
        <v>-25899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-13729</v>
      </c>
      <c r="D24" s="54">
        <v>-2411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8686</v>
      </c>
      <c r="D25" s="54">
        <v>1204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-399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-17129</v>
      </c>
      <c r="D32" s="55">
        <f>SUM(D22:D31)</f>
        <v>-27106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-2724</v>
      </c>
      <c r="D35" s="54">
        <v>-3671</v>
      </c>
      <c r="E35" s="130"/>
      <c r="F35" s="130"/>
    </row>
    <row r="36" spans="1:6" ht="12">
      <c r="A36" s="332" t="s">
        <v>437</v>
      </c>
      <c r="B36" s="333" t="s">
        <v>438</v>
      </c>
      <c r="C36" s="54">
        <v>26220</v>
      </c>
      <c r="D36" s="54">
        <v>24258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-16306</v>
      </c>
      <c r="D37" s="54">
        <v>-19896</v>
      </c>
      <c r="E37" s="130"/>
      <c r="F37" s="130"/>
    </row>
    <row r="38" spans="1:6" ht="12">
      <c r="A38" s="332" t="s">
        <v>441</v>
      </c>
      <c r="B38" s="333" t="s">
        <v>442</v>
      </c>
      <c r="C38" s="54">
        <v>-670</v>
      </c>
      <c r="D38" s="54">
        <v>-2070</v>
      </c>
      <c r="E38" s="130"/>
      <c r="F38" s="130"/>
    </row>
    <row r="39" spans="1:6" ht="12">
      <c r="A39" s="332" t="s">
        <v>443</v>
      </c>
      <c r="B39" s="333" t="s">
        <v>444</v>
      </c>
      <c r="C39" s="54">
        <f>-1141+50</f>
        <v>-1091</v>
      </c>
      <c r="D39" s="54">
        <v>-1289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-50</v>
      </c>
      <c r="D40" s="54">
        <v>-3252</v>
      </c>
      <c r="E40" s="130"/>
      <c r="F40" s="130"/>
    </row>
    <row r="41" spans="1:8" ht="12">
      <c r="A41" s="332" t="s">
        <v>447</v>
      </c>
      <c r="B41" s="333" t="s">
        <v>448</v>
      </c>
      <c r="C41" s="54">
        <v>-687</v>
      </c>
      <c r="D41" s="54">
        <v>-496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4692</v>
      </c>
      <c r="D42" s="55">
        <f>SUM(D34:D41)</f>
        <v>-6416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1206</v>
      </c>
      <c r="D43" s="55">
        <f>D42+D32+D20</f>
        <v>-1300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f>+D45</f>
        <v>4634</v>
      </c>
      <c r="D44" s="132">
        <v>5934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5840</v>
      </c>
      <c r="D45" s="55">
        <f>D44+D43</f>
        <v>4634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5687</v>
      </c>
      <c r="D46" s="56">
        <f>+D45-D47</f>
        <v>4493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153</v>
      </c>
      <c r="D47" s="56">
        <v>141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zoomScale="115" zoomScaleNormal="115" workbookViewId="0" topLeftCell="B7">
      <selection activeCell="L32" sqref="L32:M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8" t="s">
        <v>461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600" t="str">
        <f>'справка №1-БАЛАНС'!E3</f>
        <v>"МОНБАТ" АД</v>
      </c>
      <c r="C3" s="600"/>
      <c r="D3" s="600"/>
      <c r="E3" s="600"/>
      <c r="F3" s="600"/>
      <c r="G3" s="600"/>
      <c r="H3" s="600"/>
      <c r="I3" s="600"/>
      <c r="J3" s="475"/>
      <c r="K3" s="602" t="s">
        <v>2</v>
      </c>
      <c r="L3" s="602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600" t="str">
        <f>'справка №1-БАЛАНС'!E4</f>
        <v>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604" t="str">
        <f>'справка №1-БАЛАНС'!E5</f>
        <v>12.2009 г.</v>
      </c>
      <c r="C5" s="604"/>
      <c r="D5" s="604"/>
      <c r="E5" s="604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26143</v>
      </c>
      <c r="J11" s="58">
        <f>'справка №1-БАЛАНС'!H29+'справка №1-БАЛАНС'!H32</f>
        <v>-313</v>
      </c>
      <c r="K11" s="60"/>
      <c r="L11" s="344">
        <f>SUM(C11:K11)</f>
        <v>105995</v>
      </c>
      <c r="M11" s="58">
        <f>'справка №1-БАЛАНС'!H39</f>
        <v>487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-479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-479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>
        <v>-479</v>
      </c>
      <c r="J14" s="60"/>
      <c r="K14" s="60"/>
      <c r="L14" s="344">
        <f t="shared" si="1"/>
        <v>-479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25664</v>
      </c>
      <c r="J15" s="61">
        <f t="shared" si="2"/>
        <v>-313</v>
      </c>
      <c r="K15" s="61">
        <f t="shared" si="2"/>
        <v>0</v>
      </c>
      <c r="L15" s="344">
        <f t="shared" si="1"/>
        <v>105516</v>
      </c>
      <c r="M15" s="61">
        <f t="shared" si="2"/>
        <v>487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15450</v>
      </c>
      <c r="J16" s="345">
        <f>+'справка №1-БАЛАНС'!G32</f>
        <v>0</v>
      </c>
      <c r="K16" s="60"/>
      <c r="L16" s="344">
        <f t="shared" si="1"/>
        <v>15450</v>
      </c>
      <c r="M16" s="60">
        <v>96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25664</v>
      </c>
      <c r="G17" s="62">
        <f t="shared" si="3"/>
        <v>0</v>
      </c>
      <c r="H17" s="62">
        <f t="shared" si="3"/>
        <v>0</v>
      </c>
      <c r="I17" s="62">
        <f t="shared" si="3"/>
        <v>-25664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25664</v>
      </c>
      <c r="G19" s="60"/>
      <c r="H19" s="60"/>
      <c r="I19" s="60">
        <v>-25664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-583</v>
      </c>
      <c r="D28" s="60">
        <v>-2141</v>
      </c>
      <c r="E28" s="60"/>
      <c r="F28" s="60">
        <v>152</v>
      </c>
      <c r="G28" s="60"/>
      <c r="H28" s="60"/>
      <c r="I28" s="60"/>
      <c r="J28" s="60">
        <v>-152</v>
      </c>
      <c r="K28" s="60"/>
      <c r="L28" s="344">
        <f t="shared" si="1"/>
        <v>-2724</v>
      </c>
      <c r="M28" s="60">
        <v>244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37950</v>
      </c>
      <c r="D29" s="59">
        <f aca="true" t="shared" si="6" ref="D29:M29">D17+D20+D21+D24+D28+D27+D15+D16</f>
        <v>22619</v>
      </c>
      <c r="E29" s="59">
        <f t="shared" si="6"/>
        <v>7080</v>
      </c>
      <c r="F29" s="59">
        <f t="shared" si="6"/>
        <v>35608</v>
      </c>
      <c r="G29" s="59">
        <f t="shared" si="6"/>
        <v>0</v>
      </c>
      <c r="H29" s="59">
        <f t="shared" si="6"/>
        <v>0</v>
      </c>
      <c r="I29" s="59">
        <f t="shared" si="6"/>
        <v>15450</v>
      </c>
      <c r="J29" s="59">
        <f t="shared" si="6"/>
        <v>-465</v>
      </c>
      <c r="K29" s="59">
        <f t="shared" si="6"/>
        <v>0</v>
      </c>
      <c r="L29" s="344">
        <f t="shared" si="1"/>
        <v>118242</v>
      </c>
      <c r="M29" s="59">
        <f t="shared" si="6"/>
        <v>827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37950</v>
      </c>
      <c r="D32" s="59">
        <f t="shared" si="7"/>
        <v>22619</v>
      </c>
      <c r="E32" s="59">
        <f t="shared" si="7"/>
        <v>7080</v>
      </c>
      <c r="F32" s="59">
        <f t="shared" si="7"/>
        <v>35608</v>
      </c>
      <c r="G32" s="59">
        <f t="shared" si="7"/>
        <v>0</v>
      </c>
      <c r="H32" s="59">
        <f t="shared" si="7"/>
        <v>0</v>
      </c>
      <c r="I32" s="59">
        <f t="shared" si="7"/>
        <v>15450</v>
      </c>
      <c r="J32" s="59">
        <f t="shared" si="7"/>
        <v>-465</v>
      </c>
      <c r="K32" s="59">
        <f t="shared" si="7"/>
        <v>0</v>
      </c>
      <c r="L32" s="344">
        <f t="shared" si="1"/>
        <v>118242</v>
      </c>
      <c r="M32" s="59">
        <f>M29+M30+M31</f>
        <v>827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868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9" t="s">
        <v>523</v>
      </c>
      <c r="E38" s="599"/>
      <c r="F38" s="599"/>
      <c r="G38" s="599"/>
      <c r="H38" s="599"/>
      <c r="I38" s="599"/>
      <c r="J38" s="15" t="s">
        <v>863</v>
      </c>
      <c r="K38" s="15"/>
      <c r="L38" s="599"/>
      <c r="M38" s="599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30" zoomScaleNormal="130" workbookViewId="0" topLeftCell="H7">
      <selection activeCell="R39" sqref="R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385</v>
      </c>
      <c r="B2" s="618"/>
      <c r="C2" s="619" t="str">
        <f>'справка №1-БАЛАНС'!E3</f>
        <v>"МОНБАТ" АД</v>
      </c>
      <c r="D2" s="619"/>
      <c r="E2" s="619"/>
      <c r="F2" s="619"/>
      <c r="G2" s="619"/>
      <c r="H2" s="61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617" t="s">
        <v>5</v>
      </c>
      <c r="B3" s="618"/>
      <c r="C3" s="620" t="str">
        <f>'справка №1-БАЛАНС'!E5</f>
        <v>12.2009 г.</v>
      </c>
      <c r="D3" s="620"/>
      <c r="E3" s="620"/>
      <c r="F3" s="484"/>
      <c r="G3" s="484"/>
      <c r="H3" s="484"/>
      <c r="I3" s="484"/>
      <c r="J3" s="484"/>
      <c r="K3" s="484"/>
      <c r="L3" s="484"/>
      <c r="M3" s="609" t="s">
        <v>4</v>
      </c>
      <c r="N3" s="609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10" t="s">
        <v>465</v>
      </c>
      <c r="B5" s="611"/>
      <c r="C5" s="614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7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7" t="s">
        <v>531</v>
      </c>
      <c r="R5" s="607" t="s">
        <v>532</v>
      </c>
    </row>
    <row r="6" spans="1:18" s="100" customFormat="1" ht="48">
      <c r="A6" s="612"/>
      <c r="B6" s="613"/>
      <c r="C6" s="615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8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8"/>
      <c r="R6" s="608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6861</v>
      </c>
      <c r="E9" s="189">
        <v>136</v>
      </c>
      <c r="F9" s="189"/>
      <c r="G9" s="74">
        <f>D9+E9-F9</f>
        <v>6997</v>
      </c>
      <c r="H9" s="65"/>
      <c r="I9" s="65"/>
      <c r="J9" s="74">
        <f aca="true" t="shared" si="0" ref="J9:J25">G9+H9-I9</f>
        <v>6997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6997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20824</v>
      </c>
      <c r="E10" s="189">
        <f>3468+22+6+743</f>
        <v>4239</v>
      </c>
      <c r="F10" s="189"/>
      <c r="G10" s="74">
        <f aca="true" t="shared" si="3" ref="G10:G39">D10+E10-F10</f>
        <v>25063</v>
      </c>
      <c r="H10" s="65"/>
      <c r="I10" s="65"/>
      <c r="J10" s="74">
        <f t="shared" si="0"/>
        <v>25063</v>
      </c>
      <c r="K10" s="65">
        <v>2184</v>
      </c>
      <c r="L10" s="65">
        <f>322+32+2+1</f>
        <v>357</v>
      </c>
      <c r="M10" s="65"/>
      <c r="N10" s="74">
        <f aca="true" t="shared" si="4" ref="N10:N39">K10+L10-M10</f>
        <v>2541</v>
      </c>
      <c r="O10" s="65"/>
      <c r="P10" s="65"/>
      <c r="Q10" s="74">
        <f t="shared" si="1"/>
        <v>2541</v>
      </c>
      <c r="R10" s="74">
        <f t="shared" si="2"/>
        <v>22522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60548</v>
      </c>
      <c r="E11" s="189">
        <f>3806+150+192+221-1</f>
        <v>4368</v>
      </c>
      <c r="F11" s="189">
        <f>46+49+8054</f>
        <v>8149</v>
      </c>
      <c r="G11" s="74">
        <f t="shared" si="3"/>
        <v>56767</v>
      </c>
      <c r="H11" s="65"/>
      <c r="I11" s="65"/>
      <c r="J11" s="74">
        <f t="shared" si="0"/>
        <v>56767</v>
      </c>
      <c r="K11" s="65">
        <v>27241</v>
      </c>
      <c r="L11" s="65">
        <f>2844+379+16</f>
        <v>3239</v>
      </c>
      <c r="M11" s="65">
        <v>13</v>
      </c>
      <c r="N11" s="74">
        <f t="shared" si="4"/>
        <v>30467</v>
      </c>
      <c r="O11" s="65"/>
      <c r="P11" s="65"/>
      <c r="Q11" s="74">
        <f t="shared" si="1"/>
        <v>30467</v>
      </c>
      <c r="R11" s="74">
        <f t="shared" si="2"/>
        <v>26300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2242</v>
      </c>
      <c r="E12" s="189">
        <f>9805+4+149+8054</f>
        <v>18012</v>
      </c>
      <c r="F12" s="189">
        <f>29-29</f>
        <v>0</v>
      </c>
      <c r="G12" s="74">
        <f t="shared" si="3"/>
        <v>20254</v>
      </c>
      <c r="H12" s="65"/>
      <c r="I12" s="65"/>
      <c r="J12" s="74">
        <f t="shared" si="0"/>
        <v>20254</v>
      </c>
      <c r="K12" s="65">
        <v>473</v>
      </c>
      <c r="L12" s="65">
        <f>253+4+11+2</f>
        <v>270</v>
      </c>
      <c r="M12" s="65"/>
      <c r="N12" s="74">
        <f t="shared" si="4"/>
        <v>743</v>
      </c>
      <c r="O12" s="65"/>
      <c r="P12" s="65"/>
      <c r="Q12" s="74">
        <f t="shared" si="1"/>
        <v>743</v>
      </c>
      <c r="R12" s="74">
        <f t="shared" si="2"/>
        <v>19511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3974</v>
      </c>
      <c r="E13" s="189">
        <f>259+10+18+213+127+172-7</f>
        <v>792</v>
      </c>
      <c r="F13" s="189"/>
      <c r="G13" s="74">
        <f t="shared" si="3"/>
        <v>4766</v>
      </c>
      <c r="H13" s="65"/>
      <c r="I13" s="65"/>
      <c r="J13" s="74">
        <f t="shared" si="0"/>
        <v>4766</v>
      </c>
      <c r="K13" s="65">
        <v>1668</v>
      </c>
      <c r="L13" s="65">
        <f>372+11+10+33+68</f>
        <v>494</v>
      </c>
      <c r="M13" s="65"/>
      <c r="N13" s="74">
        <f t="shared" si="4"/>
        <v>2162</v>
      </c>
      <c r="O13" s="65"/>
      <c r="P13" s="65"/>
      <c r="Q13" s="74">
        <f t="shared" si="1"/>
        <v>2162</v>
      </c>
      <c r="R13" s="74">
        <f t="shared" si="2"/>
        <v>2604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3302</v>
      </c>
      <c r="E14" s="189">
        <f>86+8+1+12+5</f>
        <v>112</v>
      </c>
      <c r="F14" s="189">
        <f>6-6</f>
        <v>0</v>
      </c>
      <c r="G14" s="74">
        <f t="shared" si="3"/>
        <v>3414</v>
      </c>
      <c r="H14" s="65"/>
      <c r="I14" s="65"/>
      <c r="J14" s="74">
        <f t="shared" si="0"/>
        <v>3414</v>
      </c>
      <c r="K14" s="65">
        <v>1240</v>
      </c>
      <c r="L14" s="65">
        <f>250+158+5+12</f>
        <v>425</v>
      </c>
      <c r="M14" s="65">
        <v>2</v>
      </c>
      <c r="N14" s="74">
        <f t="shared" si="4"/>
        <v>1663</v>
      </c>
      <c r="O14" s="65"/>
      <c r="P14" s="65"/>
      <c r="Q14" s="74">
        <f t="shared" si="1"/>
        <v>1663</v>
      </c>
      <c r="R14" s="74">
        <f t="shared" si="2"/>
        <v>1751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23978</v>
      </c>
      <c r="E15" s="457">
        <f>5051+4070+16-153</f>
        <v>8984</v>
      </c>
      <c r="F15" s="457">
        <f>13459+586+7</f>
        <v>14052</v>
      </c>
      <c r="G15" s="74">
        <f t="shared" si="3"/>
        <v>18910</v>
      </c>
      <c r="H15" s="458"/>
      <c r="I15" s="458"/>
      <c r="J15" s="74">
        <f t="shared" si="0"/>
        <v>18910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18910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3"/>
        <v>0</v>
      </c>
      <c r="H16" s="65"/>
      <c r="I16" s="65"/>
      <c r="J16" s="74">
        <f t="shared" si="0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121729</v>
      </c>
      <c r="E17" s="194">
        <f>SUM(E9:E16)</f>
        <v>36643</v>
      </c>
      <c r="F17" s="194">
        <f>SUM(F9:F16)</f>
        <v>22201</v>
      </c>
      <c r="G17" s="74">
        <f t="shared" si="3"/>
        <v>136171</v>
      </c>
      <c r="H17" s="75">
        <f>SUM(H9:H16)</f>
        <v>0</v>
      </c>
      <c r="I17" s="75">
        <f>SUM(I9:I16)</f>
        <v>0</v>
      </c>
      <c r="J17" s="74">
        <f t="shared" si="0"/>
        <v>136171</v>
      </c>
      <c r="K17" s="75">
        <f>SUM(K9:K16)</f>
        <v>32806</v>
      </c>
      <c r="L17" s="75">
        <f>SUM(L9:L16)</f>
        <v>4785</v>
      </c>
      <c r="M17" s="75">
        <f>SUM(M9:M16)</f>
        <v>15</v>
      </c>
      <c r="N17" s="74">
        <f t="shared" si="4"/>
        <v>37576</v>
      </c>
      <c r="O17" s="75">
        <f>SUM(O9:O16)</f>
        <v>0</v>
      </c>
      <c r="P17" s="75">
        <f>SUM(P9:P16)</f>
        <v>0</v>
      </c>
      <c r="Q17" s="74">
        <f t="shared" si="5"/>
        <v>37576</v>
      </c>
      <c r="R17" s="74">
        <f t="shared" si="6"/>
        <v>98595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>
        <v>22</v>
      </c>
      <c r="F21" s="189"/>
      <c r="G21" s="74">
        <f t="shared" si="3"/>
        <v>980</v>
      </c>
      <c r="H21" s="65"/>
      <c r="I21" s="65"/>
      <c r="J21" s="74">
        <f t="shared" si="0"/>
        <v>980</v>
      </c>
      <c r="K21" s="65">
        <v>934</v>
      </c>
      <c r="L21" s="65">
        <v>5</v>
      </c>
      <c r="M21" s="65"/>
      <c r="N21" s="74">
        <f t="shared" si="4"/>
        <v>939</v>
      </c>
      <c r="O21" s="65"/>
      <c r="P21" s="65"/>
      <c r="Q21" s="74">
        <f t="shared" si="5"/>
        <v>939</v>
      </c>
      <c r="R21" s="74">
        <f t="shared" si="6"/>
        <v>41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153</v>
      </c>
      <c r="E22" s="189">
        <f>2</f>
        <v>2</v>
      </c>
      <c r="F22" s="189"/>
      <c r="G22" s="74">
        <f t="shared" si="3"/>
        <v>155</v>
      </c>
      <c r="H22" s="65"/>
      <c r="I22" s="65"/>
      <c r="J22" s="74">
        <f t="shared" si="0"/>
        <v>155</v>
      </c>
      <c r="K22" s="65">
        <v>142</v>
      </c>
      <c r="L22" s="65">
        <f>2+2</f>
        <v>4</v>
      </c>
      <c r="M22" s="65"/>
      <c r="N22" s="74">
        <f t="shared" si="4"/>
        <v>146</v>
      </c>
      <c r="O22" s="65"/>
      <c r="P22" s="65"/>
      <c r="Q22" s="74">
        <f t="shared" si="5"/>
        <v>146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15</v>
      </c>
      <c r="E24" s="189"/>
      <c r="F24" s="189"/>
      <c r="G24" s="74">
        <f t="shared" si="3"/>
        <v>15</v>
      </c>
      <c r="H24" s="65"/>
      <c r="I24" s="65"/>
      <c r="J24" s="74">
        <f t="shared" si="0"/>
        <v>15</v>
      </c>
      <c r="K24" s="65">
        <v>9</v>
      </c>
      <c r="L24" s="65">
        <v>2</v>
      </c>
      <c r="M24" s="65"/>
      <c r="N24" s="74">
        <f t="shared" si="4"/>
        <v>11</v>
      </c>
      <c r="O24" s="65"/>
      <c r="P24" s="65"/>
      <c r="Q24" s="74">
        <f t="shared" si="5"/>
        <v>11</v>
      </c>
      <c r="R24" s="74">
        <f t="shared" si="6"/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1126</v>
      </c>
      <c r="E25" s="190">
        <f aca="true" t="shared" si="7" ref="E25:P25">SUM(E21:E24)</f>
        <v>24</v>
      </c>
      <c r="F25" s="190">
        <f t="shared" si="7"/>
        <v>0</v>
      </c>
      <c r="G25" s="67">
        <f t="shared" si="3"/>
        <v>1150</v>
      </c>
      <c r="H25" s="66">
        <f t="shared" si="7"/>
        <v>0</v>
      </c>
      <c r="I25" s="66">
        <f t="shared" si="7"/>
        <v>0</v>
      </c>
      <c r="J25" s="67">
        <f t="shared" si="0"/>
        <v>1150</v>
      </c>
      <c r="K25" s="66">
        <f t="shared" si="7"/>
        <v>1085</v>
      </c>
      <c r="L25" s="66">
        <f t="shared" si="7"/>
        <v>11</v>
      </c>
      <c r="M25" s="66">
        <f t="shared" si="7"/>
        <v>0</v>
      </c>
      <c r="N25" s="67">
        <f t="shared" si="4"/>
        <v>1096</v>
      </c>
      <c r="O25" s="66">
        <f t="shared" si="7"/>
        <v>0</v>
      </c>
      <c r="P25" s="66">
        <f t="shared" si="7"/>
        <v>0</v>
      </c>
      <c r="Q25" s="67">
        <f t="shared" si="5"/>
        <v>1096</v>
      </c>
      <c r="R25" s="67">
        <f t="shared" si="6"/>
        <v>54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9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8</v>
      </c>
      <c r="H38" s="75">
        <f t="shared" si="13"/>
        <v>0</v>
      </c>
      <c r="I38" s="75">
        <f t="shared" si="13"/>
        <v>0</v>
      </c>
      <c r="J38" s="74">
        <f t="shared" si="9"/>
        <v>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519</v>
      </c>
      <c r="E39" s="570">
        <v>156</v>
      </c>
      <c r="F39" s="570"/>
      <c r="G39" s="74">
        <f t="shared" si="3"/>
        <v>675</v>
      </c>
      <c r="H39" s="570"/>
      <c r="I39" s="570"/>
      <c r="J39" s="74">
        <f t="shared" si="9"/>
        <v>675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675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123382</v>
      </c>
      <c r="E40" s="438">
        <f>E17+E18+E19+E25+E38+E39</f>
        <v>36823</v>
      </c>
      <c r="F40" s="438">
        <f aca="true" t="shared" si="14" ref="F40:R40">F17+F18+F19+F25+F38+F39</f>
        <v>22201</v>
      </c>
      <c r="G40" s="438">
        <f t="shared" si="14"/>
        <v>138004</v>
      </c>
      <c r="H40" s="438">
        <f t="shared" si="14"/>
        <v>0</v>
      </c>
      <c r="I40" s="438">
        <f t="shared" si="14"/>
        <v>0</v>
      </c>
      <c r="J40" s="438">
        <f t="shared" si="14"/>
        <v>138004</v>
      </c>
      <c r="K40" s="438">
        <f t="shared" si="14"/>
        <v>33891</v>
      </c>
      <c r="L40" s="438">
        <f t="shared" si="14"/>
        <v>4796</v>
      </c>
      <c r="M40" s="438">
        <f t="shared" si="14"/>
        <v>15</v>
      </c>
      <c r="N40" s="438">
        <f t="shared" si="14"/>
        <v>38672</v>
      </c>
      <c r="O40" s="438">
        <f t="shared" si="14"/>
        <v>0</v>
      </c>
      <c r="P40" s="438">
        <f t="shared" si="14"/>
        <v>0</v>
      </c>
      <c r="Q40" s="438">
        <f t="shared" si="14"/>
        <v>38672</v>
      </c>
      <c r="R40" s="438">
        <f t="shared" si="14"/>
        <v>99332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6"/>
      <c r="L44" s="616"/>
      <c r="M44" s="616"/>
      <c r="N44" s="616"/>
      <c r="O44" s="605" t="s">
        <v>785</v>
      </c>
      <c r="P44" s="606"/>
      <c r="Q44" s="606"/>
      <c r="R44" s="606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10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612</v>
      </c>
      <c r="B1" s="624"/>
      <c r="C1" s="624"/>
      <c r="D1" s="624"/>
      <c r="E1" s="624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7" t="str">
        <f>'справка №1-БАЛАНС'!E3</f>
        <v>"МОНБАТ" АД</v>
      </c>
      <c r="C3" s="628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25" t="str">
        <f>'справка №1-БАЛАНС'!E5</f>
        <v>12.2009 г.</v>
      </c>
      <c r="C4" s="626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7934</v>
      </c>
      <c r="D24" s="119">
        <f>SUM(D25:D27)</f>
        <v>7934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f>5212</f>
        <v>5212</v>
      </c>
      <c r="D25" s="108">
        <f>5212</f>
        <v>5212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f>2670</f>
        <v>2670</v>
      </c>
      <c r="D26" s="108">
        <f>2670</f>
        <v>2670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f>52</f>
        <v>52</v>
      </c>
      <c r="D27" s="108">
        <f>52</f>
        <v>52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f>24014-2</f>
        <v>24012</v>
      </c>
      <c r="D28" s="108">
        <f>24014-2</f>
        <v>24012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338</v>
      </c>
      <c r="D29" s="108">
        <v>338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2461</v>
      </c>
      <c r="D30" s="108">
        <v>2461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2860</v>
      </c>
      <c r="D33" s="105">
        <f>SUM(D34:D37)</f>
        <v>2860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f>25</f>
        <v>25</v>
      </c>
      <c r="D34" s="108">
        <f>25</f>
        <v>25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f>1938+63+612+20+30</f>
        <v>2663</v>
      </c>
      <c r="D35" s="108">
        <f>1938+63+612+20+30</f>
        <v>2663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f>172</f>
        <v>172</v>
      </c>
      <c r="D37" s="108">
        <f>172</f>
        <v>172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734</v>
      </c>
      <c r="D38" s="105">
        <f>SUM(D39:D42)</f>
        <v>734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734</v>
      </c>
      <c r="D42" s="108">
        <v>734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38344</v>
      </c>
      <c r="D43" s="104">
        <f>D24+D28+D29+D31+D30+D32+D33+D38</f>
        <v>38344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38344</v>
      </c>
      <c r="D44" s="103">
        <f>D43+D21+D19+D9</f>
        <v>38344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7</v>
      </c>
      <c r="D52" s="103">
        <f>SUM(D53:D55)</f>
        <v>0</v>
      </c>
      <c r="E52" s="119">
        <f>C52-D52</f>
        <v>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>
        <v>7</v>
      </c>
      <c r="D55" s="108"/>
      <c r="E55" s="119">
        <f t="shared" si="1"/>
        <v>7</v>
      </c>
      <c r="F55" s="108"/>
    </row>
    <row r="56" spans="1:16" ht="24">
      <c r="A56" s="396" t="s">
        <v>697</v>
      </c>
      <c r="B56" s="397" t="s">
        <v>698</v>
      </c>
      <c r="C56" s="103">
        <f>C57+C59</f>
        <v>33894</v>
      </c>
      <c r="D56" s="103">
        <f>D57+D59</f>
        <v>0</v>
      </c>
      <c r="E56" s="119">
        <f t="shared" si="1"/>
        <v>33894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33894</v>
      </c>
      <c r="D57" s="108">
        <v>0</v>
      </c>
      <c r="E57" s="119">
        <f t="shared" si="1"/>
        <v>33894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2604</v>
      </c>
      <c r="D62" s="108"/>
      <c r="E62" s="119">
        <f t="shared" si="1"/>
        <v>2604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36505</v>
      </c>
      <c r="D66" s="103">
        <f>D52+D56+D61+D62+D63+D64</f>
        <v>0</v>
      </c>
      <c r="E66" s="119">
        <f t="shared" si="1"/>
        <v>36505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2468</v>
      </c>
      <c r="D68" s="108"/>
      <c r="E68" s="119">
        <f t="shared" si="1"/>
        <v>2468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182</v>
      </c>
      <c r="D71" s="105">
        <f>SUM(D72:D74)</f>
        <v>182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f>20+2</f>
        <v>22</v>
      </c>
      <c r="D72" s="108">
        <f>20+2</f>
        <v>22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f>160</f>
        <v>160</v>
      </c>
      <c r="D73" s="108">
        <f>160</f>
        <v>160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6405</v>
      </c>
      <c r="D75" s="103">
        <f>D76+D78</f>
        <v>6405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6405</v>
      </c>
      <c r="D76" s="108">
        <v>6405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18744</v>
      </c>
      <c r="D85" s="104">
        <f>SUM(D86:D90)+D94</f>
        <v>18744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45</v>
      </c>
      <c r="D86" s="108">
        <v>45</v>
      </c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f>16823-50</f>
        <v>16773</v>
      </c>
      <c r="D87" s="108">
        <f>16823-50</f>
        <v>16773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115</v>
      </c>
      <c r="D88" s="108">
        <v>115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419</v>
      </c>
      <c r="D89" s="108">
        <v>419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976</v>
      </c>
      <c r="D90" s="103">
        <f>SUM(D91:D93)</f>
        <v>976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f>709</f>
        <v>709</v>
      </c>
      <c r="D91" s="108">
        <f>709</f>
        <v>709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f>99</f>
        <v>99</v>
      </c>
      <c r="D92" s="108">
        <f>99</f>
        <v>99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f>148+8+10+2</f>
        <v>168</v>
      </c>
      <c r="D93" s="108">
        <f>148+8+10+2</f>
        <v>168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416</v>
      </c>
      <c r="D94" s="108">
        <v>416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1749</v>
      </c>
      <c r="D95" s="108">
        <v>1749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27080</v>
      </c>
      <c r="D96" s="104">
        <f>D85+D80+D75+D71+D95</f>
        <v>27080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66053</v>
      </c>
      <c r="D97" s="104">
        <f>D96+D68+D66</f>
        <v>27080</v>
      </c>
      <c r="E97" s="104">
        <f>E96+E68+E66</f>
        <v>38973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88</v>
      </c>
      <c r="D104" s="108">
        <v>106</v>
      </c>
      <c r="E104" s="108">
        <v>83</v>
      </c>
      <c r="F104" s="125">
        <f>C104+D104-E104</f>
        <v>111</v>
      </c>
    </row>
    <row r="105" spans="1:16" ht="12">
      <c r="A105" s="412" t="s">
        <v>780</v>
      </c>
      <c r="B105" s="395" t="s">
        <v>781</v>
      </c>
      <c r="C105" s="103">
        <f>SUM(C102:C104)</f>
        <v>88</v>
      </c>
      <c r="D105" s="103">
        <f>SUM(D102:D104)</f>
        <v>106</v>
      </c>
      <c r="E105" s="103">
        <f>SUM(E102:E104)</f>
        <v>83</v>
      </c>
      <c r="F105" s="103">
        <f>SUM(F102:F104)</f>
        <v>111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783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784</v>
      </c>
      <c r="B109" s="622"/>
      <c r="C109" s="622" t="s">
        <v>383</v>
      </c>
      <c r="D109" s="622"/>
      <c r="E109" s="622"/>
      <c r="F109" s="6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785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9" t="str">
        <f>'справка №1-БАЛАНС'!E3</f>
        <v>"МОНБАТ" АД</v>
      </c>
      <c r="C4" s="629"/>
      <c r="D4" s="629"/>
      <c r="E4" s="629"/>
      <c r="F4" s="629"/>
      <c r="G4" s="635" t="s">
        <v>2</v>
      </c>
      <c r="H4" s="635"/>
      <c r="I4" s="499">
        <f>'справка №1-БАЛАНС'!H3</f>
        <v>111028849</v>
      </c>
    </row>
    <row r="5" spans="1:9" ht="15">
      <c r="A5" s="500" t="s">
        <v>5</v>
      </c>
      <c r="B5" s="630" t="str">
        <f>'справка №1-БАЛАНС'!E5</f>
        <v>12.2009 г.</v>
      </c>
      <c r="C5" s="630"/>
      <c r="D5" s="630"/>
      <c r="E5" s="630"/>
      <c r="F5" s="630"/>
      <c r="G5" s="633" t="s">
        <v>4</v>
      </c>
      <c r="H5" s="634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1050143</v>
      </c>
      <c r="D20" s="98"/>
      <c r="E20" s="98"/>
      <c r="F20" s="98">
        <v>1050</v>
      </c>
      <c r="G20" s="98"/>
      <c r="H20" s="98"/>
      <c r="I20" s="434">
        <f t="shared" si="0"/>
        <v>1050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1050143</v>
      </c>
      <c r="D26" s="85">
        <f t="shared" si="2"/>
        <v>0</v>
      </c>
      <c r="E26" s="85">
        <f t="shared" si="2"/>
        <v>0</v>
      </c>
      <c r="F26" s="85">
        <f t="shared" si="2"/>
        <v>1050</v>
      </c>
      <c r="G26" s="85">
        <f t="shared" si="2"/>
        <v>0</v>
      </c>
      <c r="H26" s="85">
        <f t="shared" si="2"/>
        <v>0</v>
      </c>
      <c r="I26" s="434">
        <f t="shared" si="0"/>
        <v>1050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32"/>
      <c r="C30" s="632"/>
      <c r="D30" s="459" t="s">
        <v>823</v>
      </c>
      <c r="E30" s="631"/>
      <c r="F30" s="631"/>
      <c r="G30" s="631"/>
      <c r="H30" s="420" t="s">
        <v>785</v>
      </c>
      <c r="I30" s="631"/>
      <c r="J30" s="631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0">
      <selection activeCell="C63" sqref="C63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6" t="str">
        <f>'справка №1-БАЛАНС'!E3</f>
        <v>"МОНБАТ" АД</v>
      </c>
      <c r="C5" s="636"/>
      <c r="D5" s="636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37" t="str">
        <f>'справка №1-БАЛАНС'!E5</f>
        <v>12.2009 г.</v>
      </c>
      <c r="C6" s="63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5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8</v>
      </c>
      <c r="D63" s="441">
        <v>17</v>
      </c>
      <c r="E63" s="441"/>
      <c r="F63" s="443">
        <f>C63-E63</f>
        <v>8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8</v>
      </c>
      <c r="D79" s="429"/>
      <c r="E79" s="429">
        <f>E78+E61+E44+E27</f>
        <v>0</v>
      </c>
      <c r="F79" s="442">
        <f>F78+F61+F44+F27</f>
        <v>8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8" t="s">
        <v>861</v>
      </c>
      <c r="D153" s="638"/>
      <c r="E153" s="638"/>
      <c r="F153" s="63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2010-02-24T10:37:01Z</cp:lastPrinted>
  <dcterms:created xsi:type="dcterms:W3CDTF">2000-06-29T12:02:40Z</dcterms:created>
  <dcterms:modified xsi:type="dcterms:W3CDTF">2010-02-25T08:39:29Z</dcterms:modified>
  <cp:category/>
  <cp:version/>
  <cp:contentType/>
  <cp:contentStatus/>
</cp:coreProperties>
</file>