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<sst xmlns="http://schemas.openxmlformats.org/spreadsheetml/2006/main" count="4192" uniqueCount="976">
  <si>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</si>
  <si>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</si>
  <si>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</si>
  <si>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</si>
  <si>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</si>
  <si>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</si>
  <si>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</si>
  <si>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</si>
  <si>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</si>
  <si>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</si>
  <si>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</si>
  <si>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</si>
  <si>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</si>
  <si>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</si>
  <si>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</si>
  <si>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</si>
  <si>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</si>
  <si>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</si>
  <si>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</si>
  <si>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</si>
  <si>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</si>
  <si>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</si>
  <si>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</si>
  <si>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</si>
  <si>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</si>
  <si>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</si>
  <si>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</si>
  <si>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</si>
  <si>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</si>
  <si>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</si>
  <si>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</si>
  <si>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</si>
  <si>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</si>
  <si>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</si>
  <si>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</si>
  <si>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</si>
  <si>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</si>
  <si>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</si>
  <si>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</si>
  <si>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</si>
  <si>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</si>
  <si>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</si>
  <si>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</si>
  <si>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</si>
  <si>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</si>
  <si>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</si>
  <si>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</si>
  <si>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</si>
  <si>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</si>
  <si>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</si>
  <si>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</si>
  <si>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</si>
  <si>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</si>
  <si>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</si>
  <si>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</si>
  <si>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</si>
  <si>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</si>
  <si>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</si>
  <si>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</si>
  <si>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</si>
  <si>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</si>
  <si>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</si>
  <si>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</si>
  <si>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</si>
  <si>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</si>
  <si>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</si>
  <si>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</si>
  <si>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</si>
  <si>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</si>
  <si>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</si>
  <si>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</si>
  <si>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</si>
  <si>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</si>
  <si>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</si>
  <si>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</si>
  <si>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</si>
  <si>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</si>
  <si>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</si>
  <si>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</si>
  <si>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</si>
  <si>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</si>
  <si>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</si>
  <si>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</si>
  <si>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</si>
  <si>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</si>
  <si>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</si>
  <si>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</si>
  <si>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</si>
  <si>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</si>
  <si>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</si>
  <si>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</si>
  <si>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</si>
  <si>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</si>
  <si>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</si>
  <si>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</si>
  <si>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</si>
  <si>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</si>
  <si>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</si>
  <si>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</si>
  <si>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</si>
  <si>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</si>
  <si>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</si>
  <si>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</si>
  <si>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</si>
  <si>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</si>
  <si>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</si>
  <si>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</si>
  <si>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</si>
  <si>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</si>
  <si>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</si>
  <si>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</si>
  <si>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</si>
  <si>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</si>
  <si>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</si>
  <si>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</si>
  <si>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</si>
  <si>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</si>
  <si>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</si>
  <si>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</si>
  <si>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</si>
  <si>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</si>
  <si>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</si>
  <si>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</si>
  <si>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</si>
  <si>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</si>
  <si>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</si>
  <si>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</si>
  <si>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</si>
  <si>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</si>
  <si>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</si>
  <si>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</si>
  <si>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</si>
  <si>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</si>
  <si>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</si>
  <si>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</si>
  <si>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</si>
  <si>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</si>
  <si>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</si>
  <si>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</si>
  <si>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</si>
  <si>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</si>
  <si>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</si>
  <si>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</si>
  <si>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</si>
  <si>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</si>
  <si>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</si>
  <si>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</si>
  <si>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</si>
  <si>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</si>
  <si>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</si>
  <si>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</si>
  <si>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</si>
  <si>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</si>
  <si>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</si>
  <si>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</si>
  <si>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</si>
  <si>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</si>
  <si>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</si>
  <si>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</si>
  <si>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</si>
  <si>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</si>
  <si>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</si>
  <si>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</si>
  <si>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</si>
  <si>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</si>
  <si>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</si>
  <si>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</si>
  <si>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</si>
  <si>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</si>
  <si>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</si>
  <si>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</si>
  <si>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</si>
  <si>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</si>
  <si>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</si>
  <si>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</si>
  <si>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</si>
  <si>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</si>
  <si>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</si>
  <si>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</si>
  <si>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</si>
  <si>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</si>
  <si>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</si>
  <si>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</si>
  <si>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</si>
  <si>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</si>
  <si>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</si>
  <si>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</si>
  <si>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</si>
  <si>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</si>
  <si>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</si>
  <si>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</si>
  <si>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</si>
  <si>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</si>
  <si>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</si>
  <si>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</si>
  <si>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</si>
  <si>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</si>
  <si>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</si>
  <si>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</si>
  <si>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</si>
  <si>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</si>
  <si>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</si>
  <si>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</si>
  <si>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</si>
  <si>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</si>
  <si>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</si>
  <si>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</si>
  <si>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</si>
  <si>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</si>
  <si>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</si>
  <si>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</si>
  <si>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</si>
  <si>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</si>
  <si>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</si>
  <si>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</si>
  <si>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</si>
  <si>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</si>
  <si>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</si>
  <si>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</si>
  <si>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</si>
  <si>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</si>
  <si>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</si>
  <si>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</si>
  <si>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</si>
  <si>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</si>
  <si>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</si>
  <si>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</si>
  <si>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</si>
  <si>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</si>
  <si>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</si>
  <si>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</si>
  <si>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</si>
  <si>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</si>
  <si>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</si>
  <si>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</si>
  <si>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</si>
  <si>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</si>
  <si>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</si>
  <si>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</si>
  <si>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</si>
  <si>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</si>
  <si>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</si>
  <si>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</si>
  <si>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</si>
  <si>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</si>
  <si>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</si>
  <si>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</si>
  <si>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</si>
  <si>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</si>
  <si>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</si>
  <si>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</si>
  <si>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</si>
  <si>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</si>
  <si>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</si>
  <si>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</si>
  <si>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</si>
  <si>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</si>
  <si>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</si>
  <si>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</si>
  <si>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</si>
  <si>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</si>
  <si>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</si>
  <si>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</si>
  <si>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</si>
  <si>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</si>
  <si>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</si>
  <si>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</si>
  <si>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</si>
  <si>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</si>
  <si>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</si>
  <si>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</si>
  <si>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</si>
  <si>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</si>
  <si>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</si>
  <si>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</si>
  <si>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</si>
  <si>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</si>
  <si>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</si>
  <si>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</si>
  <si>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</si>
  <si>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</si>
  <si>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</si>
  <si>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</si>
  <si>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</si>
  <si>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</si>
  <si>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</si>
  <si>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</si>
  <si>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</si>
  <si>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</si>
  <si>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</si>
  <si>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</si>
  <si>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</si>
  <si>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</si>
  <si>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</si>
  <si>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</si>
  <si>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</si>
  <si>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</si>
  <si>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</si>
  <si>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</si>
  <si>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</si>
  <si>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</si>
  <si>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</si>
  <si>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</si>
  <si>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</si>
  <si>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</si>
  <si>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</si>
  <si>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</si>
  <si>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</si>
  <si>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</si>
  <si>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</si>
  <si>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</si>
  <si>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</si>
  <si>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</si>
  <si>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</si>
  <si>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</si>
  <si>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</si>
  <si>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</si>
  <si>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</si>
  <si>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</si>
  <si>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</si>
  <si>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</si>
  <si>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</si>
  <si>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</si>
  <si>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</si>
  <si>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</si>
  <si>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</si>
  <si>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</si>
  <si>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</si>
  <si>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</si>
  <si>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</si>
  <si>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</si>
  <si>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</si>
  <si>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</si>
  <si>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</si>
  <si>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</si>
  <si>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</si>
  <si>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</si>
  <si>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</si>
  <si>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</si>
  <si>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</si>
  <si>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</si>
  <si>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</si>
  <si>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</si>
  <si>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</si>
  <si>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</si>
  <si>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</si>
  <si>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</si>
  <si>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</si>
  <si>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</si>
  <si>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</si>
  <si>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</si>
  <si>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</si>
  <si>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</si>
  <si>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</si>
  <si>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</si>
  <si>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</si>
  <si>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</si>
  <si>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</si>
  <si>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</si>
  <si>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</si>
  <si>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</si>
  <si>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</si>
  <si>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</si>
  <si>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</si>
  <si>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</si>
  <si>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</si>
  <si>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</si>
  <si>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</si>
  <si>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</si>
  <si>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</si>
  <si>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</si>
  <si>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</si>
  <si>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</si>
  <si>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</si>
  <si>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</si>
  <si>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</si>
  <si>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</si>
  <si>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</si>
  <si>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</si>
  <si>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</si>
  <si>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</si>
  <si>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</si>
  <si>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</si>
  <si>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</si>
  <si>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</si>
  <si>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</si>
  <si>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</si>
  <si>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</si>
  <si>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</si>
  <si>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</si>
  <si>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</si>
  <si>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</si>
  <si>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</si>
  <si>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</si>
  <si>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</si>
  <si>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</si>
  <si>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</si>
  <si>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</si>
  <si>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</si>
  <si>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</si>
  <si>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</si>
  <si>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</si>
  <si>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</si>
  <si>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</si>
  <si>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</si>
  <si>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</si>
  <si>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</si>
  <si>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</si>
  <si>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</si>
  <si>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</si>
  <si>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</si>
  <si>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</si>
  <si>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</si>
  <si>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</si>
  <si>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</si>
  <si>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</si>
  <si>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</si>
  <si>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</si>
  <si>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</si>
  <si>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</si>
  <si>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</si>
  <si>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</si>
  <si>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</si>
  <si>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</si>
  <si>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</si>
  <si>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</si>
  <si>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</si>
  <si>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</si>
  <si>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</si>
  <si>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</si>
  <si>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</si>
  <si>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</si>
  <si>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</si>
  <si>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</si>
  <si>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</si>
  <si>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</si>
  <si>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</si>
  <si>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</si>
  <si>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</si>
  <si>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</si>
  <si>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</si>
  <si>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</si>
  <si>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</si>
  <si>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</si>
  <si>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</si>
  <si>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</si>
  <si>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</si>
  <si>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</si>
  <si>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</si>
  <si>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</si>
  <si>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</si>
  <si>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</si>
  <si>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</si>
  <si>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</si>
  <si>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</si>
  <si>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</si>
  <si>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</si>
  <si>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</si>
  <si>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</si>
  <si>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</si>
  <si>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</si>
  <si>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</si>
  <si>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</si>
  <si>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</si>
  <si>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</si>
  <si>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</si>
  <si>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</si>
  <si>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</si>
  <si>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</si>
  <si>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</si>
  <si>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</si>
  <si>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</si>
  <si>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</si>
  <si>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</si>
  <si>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</si>
  <si>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</si>
  <si>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</si>
  <si>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</si>
  <si>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</si>
  <si>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</si>
  <si>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</si>
  <si>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</si>
  <si>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</si>
  <si>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</si>
  <si>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</si>
  <si>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</si>
  <si>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</si>
  <si>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</si>
  <si>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</si>
  <si>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</si>
  <si>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</si>
  <si>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</si>
  <si>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</si>
  <si>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</si>
  <si>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</si>
  <si>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</si>
  <si>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</si>
  <si>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</si>
  <si>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</si>
  <si>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</si>
  <si>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</si>
  <si>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</si>
  <si>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</si>
  <si>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</si>
  <si>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</si>
  <si>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</si>
  <si>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</si>
  <si>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</si>
  <si>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</si>
  <si>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</si>
  <si>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</si>
  <si>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</si>
  <si>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</si>
  <si>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</si>
  <si>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</si>
  <si>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</si>
  <si>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</si>
  <si>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</si>
  <si>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</si>
  <si>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</si>
  <si>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</si>
  <si>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</si>
  <si>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</si>
  <si>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</si>
  <si>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</si>
  <si>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</si>
  <si>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</si>
  <si>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</si>
  <si>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</si>
  <si>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</si>
  <si>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</si>
  <si>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</si>
  <si>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</si>
  <si>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</si>
  <si>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</si>
  <si>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</si>
  <si>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</si>
  <si>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</si>
  <si>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</si>
  <si>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</si>
  <si>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</si>
  <si>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</si>
  <si>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</si>
  <si>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</si>
  <si>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</si>
  <si>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</si>
  <si>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</si>
  <si>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</si>
  <si>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</si>
  <si>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</si>
  <si>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</si>
  <si>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</si>
  <si>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</si>
  <si>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</si>
  <si>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</si>
  <si>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</si>
  <si>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</si>
  <si>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</si>
  <si>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</si>
  <si>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</si>
  <si>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</si>
  <si>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</si>
  <si>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</si>
  <si>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</si>
  <si>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</si>
  <si>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</si>
  <si>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</si>
  <si>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</si>
  <si>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</si>
  <si>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</si>
  <si>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</si>
  <si>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</si>
  <si>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</si>
  <si>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</si>
  <si>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</si>
  <si>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</si>
  <si>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</si>
  <si>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</si>
  <si>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</si>
  <si>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</si>
  <si>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</si>
  <si>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</si>
  <si>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</si>
  <si>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</si>
  <si>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</si>
  <si>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</si>
  <si>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</si>
  <si>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</si>
  <si>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</si>
  <si>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</si>
  <si>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</si>
  <si>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</si>
  <si>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</si>
  <si>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</si>
  <si>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</si>
  <si>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</si>
  <si>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</si>
  <si>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</si>
  <si>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</si>
  <si>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</si>
  <si>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</si>
  <si>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</si>
  <si>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</si>
  <si>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</si>
  <si>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</si>
  <si>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</si>
  <si>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</si>
  <si>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</si>
  <si>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</si>
  <si>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</si>
  <si>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</si>
  <si>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</si>
  <si>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</si>
  <si>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</si>
  <si>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</si>
  <si>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</si>
  <si>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</si>
  <si>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</si>
  <si>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</si>
  <si>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</si>
  <si>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</si>
  <si>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</si>
  <si>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</si>
  <si>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</si>
  <si>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</si>
  <si>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</si>
  <si>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</si>
  <si>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</si>
  <si>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</si>
  <si>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</si>
  <si>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</si>
  <si>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</si>
  <si>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</si>
  <si>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</si>
  <si>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</si>
  <si>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</si>
  <si>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</si>
  <si>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</si>
  <si>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</si>
  <si>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</si>
  <si>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</si>
  <si>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</si>
  <si>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</si>
  <si>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</si>
  <si>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</si>
  <si>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</si>
  <si>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</si>
  <si>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</si>
  <si>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</si>
  <si>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</si>
  <si>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</si>
  <si>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</si>
  <si>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</si>
  <si>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</si>
  <si>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</si>
  <si>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</si>
  <si>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</si>
  <si>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</si>
  <si>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</si>
  <si>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</si>
  <si>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</si>
  <si>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</si>
  <si>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</si>
  <si>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</si>
  <si>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</si>
  <si>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</si>
  <si>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</si>
  <si>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</si>
  <si>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</si>
  <si>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</si>
  <si>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</si>
  <si>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</si>
  <si>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</si>
  <si>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</si>
  <si>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</si>
  <si>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</si>
  <si>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</si>
  <si>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</si>
  <si>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</si>
  <si>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</si>
  <si>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</si>
  <si>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</si>
  <si>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</si>
  <si>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</si>
  <si>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</si>
  <si>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</si>
  <si>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</si>
  <si>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</si>
  <si>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</si>
  <si>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</si>
  <si>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</si>
  <si>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</si>
  <si>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</si>
  <si>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</si>
  <si>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</si>
  <si>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</si>
  <si>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</si>
  <si>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</si>
  <si>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</si>
  <si>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</si>
  <si>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</si>
  <si>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</si>
  <si>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</si>
  <si>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</si>
  <si>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</si>
  <si>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</si>
  <si>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</si>
  <si>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</si>
  <si>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</si>
  <si>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</si>
  <si>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</si>
  <si>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</si>
  <si>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</si>
  <si>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</si>
  <si>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</si>
  <si>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</si>
  <si>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</si>
  <si>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</si>
  <si>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</si>
  <si>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</si>
  <si>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</si>
  <si>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</si>
  <si>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</si>
  <si>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</si>
  <si>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</si>
  <si>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</si>
  <si>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</si>
  <si>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</si>
  <si>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</si>
  <si>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</si>
  <si>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</si>
  <si>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</si>
  <si>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</si>
  <si>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</si>
  <si>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</si>
  <si>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</si>
  <si>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</si>
  <si>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</si>
  <si>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</si>
  <si>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</si>
  <si>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</si>
  <si>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</si>
  <si>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</si>
  <si>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</si>
  <si>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</si>
  <si>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</si>
  <si>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</si>
  <si>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</si>
  <si>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</si>
  <si>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</si>
  <si>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</si>
  <si>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</si>
  <si>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</si>
  <si>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</si>
  <si>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</si>
  <si>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</si>
  <si>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</si>
  <si>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</si>
  <si>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</si>
  <si>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</si>
  <si>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</si>
  <si>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</si>
  <si>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</si>
  <si>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</si>
  <si>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</si>
  <si>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</si>
  <si>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</si>
  <si>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</si>
  <si>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</si>
  <si>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</si>
  <si>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</si>
  <si>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</si>
  <si>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</si>
  <si>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</si>
  <si>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</si>
  <si>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</si>
  <si>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</si>
  <si>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</si>
  <si>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</si>
  <si>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</si>
  <si>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</si>
  <si>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</si>
  <si>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</si>
  <si>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</si>
  <si>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</si>
  <si>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</si>
  <si>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</si>
  <si>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</si>
  <si>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</si>
  <si>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</si>
  <si>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</si>
  <si>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</si>
  <si>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</si>
  <si>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</si>
  <si>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</si>
  <si>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</si>
  <si>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</si>
  <si>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</si>
  <si>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</si>
  <si>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</si>
  <si>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</si>
  <si>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</si>
  <si>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</si>
  <si>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</si>
  <si>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</si>
  <si>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</si>
  <si>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</si>
  <si>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</si>
  <si>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</si>
  <si>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</si>
  <si>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</si>
  <si>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</si>
  <si>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</si>
  <si>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</si>
  <si>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</si>
  <si>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</si>
  <si>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</si>
  <si>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</si>
  <si>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</si>
  <si>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</si>
  <si>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</si>
  <si>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</si>
  <si>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</si>
  <si>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</si>
  <si>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</si>
  <si>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</si>
  <si>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</si>
  <si>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</si>
  <si>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</si>
  <si>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</si>
  <si>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</si>
  <si>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</si>
  <si>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</si>
  <si>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</si>
  <si>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</si>
  <si>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</si>
  <si>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</si>
  <si>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</si>
  <si>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</si>
  <si>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</si>
  <si>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</si>
  <si>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</si>
  <si>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</si>
  <si>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</si>
  <si>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</si>
  <si>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</si>
  <si>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</si>
  <si>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</si>
  <si>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</si>
  <si>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</si>
  <si>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</si>
  <si>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</si>
  <si>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</si>
  <si>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</si>
  <si>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</si>
  <si>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</si>
  <si>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</si>
  <si>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</si>
  <si>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</si>
  <si>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</si>
  <si>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</si>
  <si>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</si>
  <si>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</si>
  <si>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</si>
  <si>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</si>
  <si>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</si>
  <si>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</si>
  <si>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</si>
  <si>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</si>
  <si>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</si>
  <si>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</si>
  <si>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</si>
  <si>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</si>
  <si>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</si>
  <si>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</si>
  <si>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</si>
  <si>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</si>
  <si>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</si>
  <si>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</si>
  <si>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</si>
  <si>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</si>
  <si>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</si>
  <si>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</si>
  <si>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</si>
  <si>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</si>
  <si>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</si>
  <si>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</si>
  <si>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</si>
  <si>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</si>
  <si>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</si>
  <si>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</si>
  <si>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</si>
  <si>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</si>
  <si>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</si>
  <si>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</si>
  <si>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</si>
  <si>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</si>
  <si>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</si>
  <si>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</si>
  <si>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</si>
  <si>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</si>
  <si>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</si>
  <si>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</si>
  <si>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</si>
  <si>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</si>
  <si>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</si>
  <si>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</si>
  <si>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</si>
  <si>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</si>
  <si>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</si>
  <si>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</si>
  <si>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</si>
  <si>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</si>
  <si>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</si>
  <si>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</si>
  <si>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</si>
  <si>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</si>
  <si>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</si>
  <si>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</si>
  <si>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</si>
  <si>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</si>
  <si>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</si>
  <si>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</si>
  <si>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</si>
  <si>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</si>
  <si>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</si>
  <si>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</si>
  <si>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</si>
  <si>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</si>
  <si>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</si>
  <si>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</si>
  <si>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</si>
  <si>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</si>
  <si>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</si>
  <si>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</si>
  <si>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</si>
  <si>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</si>
  <si>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</si>
  <si>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</si>
  <si>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</si>
  <si>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</si>
  <si>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</si>
  <si>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</si>
  <si>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</si>
  <si>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</si>
  <si>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</si>
  <si>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</si>
  <si>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</si>
  <si>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</si>
  <si>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</si>
  <si>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</si>
  <si>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</si>
  <si>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</si>
  <si>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</si>
  <si>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</si>
  <si>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</si>
  <si>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</si>
  <si>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</si>
  <si>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</si>
  <si>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</si>
  <si>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</si>
  <si>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</si>
  <si>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</si>
  <si>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</si>
  <si>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</si>
  <si>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</si>
  <si>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</si>
  <si>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</si>
  <si>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</si>
  <si>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</si>
  <si>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</si>
  <si>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</si>
  <si>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</si>
  <si>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Инвестор.БГ ЕООД</t>
  </si>
  <si>
    <t>гр. София, бул. "Тодор Александров" №137, ет.6, офис А16</t>
  </si>
  <si>
    <t>гр. София, бул. "Тодор Александров" №133, маг.2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</si>
</sst>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43990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Николай Димитров Колев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43990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974</v>
      </c>
    </row>
    <row r="20" spans="1:2" ht="15.75">
      <c r="A20" s="7" t="s">
        <v>5</v>
      </c>
      <c r="B20" s="545" t="s">
        <v>975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0.11850311850311851</v>
      </c>
      <c r="E3" s="613"/>
    </row>
    <row r="4" spans="1:4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-6.8059701492537314</v>
      </c>
    </row>
    <row r="5" spans="1:4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0.2608695652173913</v>
      </c>
    </row>
    <row r="6" spans="1:4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0.2712671029149316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1.1666193585012774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0.45768566493955093</v>
      </c>
    </row>
    <row r="11" spans="1:4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0.24582613701784686</v>
      </c>
    </row>
    <row r="12" spans="1:4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0.010362694300518135</v>
      </c>
    </row>
    <row r="13" spans="1:4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0.010362694300518135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8.329004329004329</v>
      </c>
    </row>
    <row r="16" spans="1:4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2.2891136228435456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-0.19642857142857142</v>
      </c>
    </row>
    <row r="19" spans="1:4" ht="31.5">
      <c r="A19" s="560">
        <v>13</v>
      </c>
      <c r="B19" s="558" t="s">
        <v>907</v>
      </c>
      <c r="C19" s="559" t="s">
        <v>880</v>
      </c>
      <c r="D19" s="608">
        <f>D4/D5</f>
        <v>-26.08955223880597</v>
      </c>
    </row>
    <row r="20" spans="1:4" ht="31.5">
      <c r="A20" s="560">
        <v>14</v>
      </c>
      <c r="B20" s="558" t="s">
        <v>881</v>
      </c>
      <c r="C20" s="559" t="s">
        <v>882</v>
      </c>
      <c r="D20" s="608">
        <f>D6/D5</f>
        <v>1.039857227840571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681</v>
      </c>
      <c r="E21" s="663"/>
    </row>
    <row r="22" spans="1:4" ht="47.25">
      <c r="A22" s="560">
        <v>16</v>
      </c>
      <c r="B22" s="558" t="s">
        <v>887</v>
      </c>
      <c r="C22" s="559" t="s">
        <v>888</v>
      </c>
      <c r="D22" s="614">
        <f>D21/'1-Баланс'!G37</f>
        <v>-10.164179104477611</v>
      </c>
    </row>
    <row r="23" spans="1:4" ht="31.5">
      <c r="A23" s="560">
        <v>17</v>
      </c>
      <c r="B23" s="558" t="s">
        <v>953</v>
      </c>
      <c r="C23" s="559" t="s">
        <v>954</v>
      </c>
      <c r="D23" s="614">
        <f>(D21+'2-Отчет за доходите'!C14)/'2-Отчет за доходите'!G31</f>
        <v>0.1708029197080292</v>
      </c>
    </row>
    <row r="24" spans="1:4" ht="31.5">
      <c r="A24" s="560">
        <v>18</v>
      </c>
      <c r="B24" s="558" t="s">
        <v>955</v>
      </c>
      <c r="C24" s="559" t="s">
        <v>956</v>
      </c>
      <c r="D24" s="614">
        <f>('1-Баланс'!G56+'1-Баланс'!G79)/(D21+'2-Отчет за доходите'!C14)</f>
        <v>2.49002849002849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36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93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732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732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53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886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113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50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190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367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276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131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409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795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1681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498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498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500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-4423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1085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-5508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456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-3967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-67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1737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194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920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84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28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146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363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1737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1737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1681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200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356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21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415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63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1688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413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273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126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3429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94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0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94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3523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587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3523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587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131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131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456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456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4110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964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57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351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2476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3848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262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262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4110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4110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4110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799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-464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-386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-63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16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-98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0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-98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116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18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18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210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210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-208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498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498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498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498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877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877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456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208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1541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1541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-5508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-5508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-5508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-5508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-523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-523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456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-67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-67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62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99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48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1931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27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86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2196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>
        <f>'Справка 6'!F11</f>
        <v>460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>
        <f>'Справка 6'!F12</f>
        <v>856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320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1645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173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21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10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31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1849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50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60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99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41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36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286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23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17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55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347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50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60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99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41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36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286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23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17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55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347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139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61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99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37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37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373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43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14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80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453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5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17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21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144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44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197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21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10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31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228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60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99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34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193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23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15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15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53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246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60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99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34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193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23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15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15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53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246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50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7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36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93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2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2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101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732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732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732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53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276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131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145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131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409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1194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276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131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145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131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409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409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732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732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732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53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785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2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2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1735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194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920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84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28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363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216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147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146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1737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1748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2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2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1735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194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920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84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28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363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216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147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146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1737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1737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11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50</f>
        <v>50</v>
      </c>
      <c r="D12" s="188">
        <f>510</f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/>
      <c r="D13" s="188">
        <f>717</f>
        <v>717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8">
        <f>1</f>
        <v>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7</f>
        <v>7</v>
      </c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3400</v>
      </c>
      <c r="H18" s="578">
        <f>H12+H15+H16+H17</f>
        <v>3400</v>
      </c>
    </row>
    <row r="19" spans="1:8" ht="15.75">
      <c r="A19" s="84" t="s">
        <v>49</v>
      </c>
      <c r="B19" s="86" t="s">
        <v>50</v>
      </c>
      <c r="C19" s="188">
        <f>36</f>
        <v>36</v>
      </c>
      <c r="D19" s="188">
        <f>330</f>
        <v>330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93</v>
      </c>
      <c r="D20" s="566">
        <f>SUM(D12:D19)</f>
        <v>1558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2</f>
        <v>2</v>
      </c>
      <c r="H21" s="188">
        <f>210</f>
        <v>210</v>
      </c>
    </row>
    <row r="22" spans="1:13" ht="15.75">
      <c r="A22" s="94" t="s">
        <v>60</v>
      </c>
      <c r="B22" s="91" t="s">
        <v>61</v>
      </c>
      <c r="C22" s="462"/>
      <c r="D22" s="462">
        <v>173</v>
      </c>
      <c r="E22" s="192" t="s">
        <v>62</v>
      </c>
      <c r="F22" s="87" t="s">
        <v>63</v>
      </c>
      <c r="G22" s="581">
        <f>SUM(G23:G25)</f>
        <v>498</v>
      </c>
      <c r="H22" s="582">
        <f>SUM(H23:H25)</f>
        <v>498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8">
        <f>1</f>
        <v>1</v>
      </c>
      <c r="E24" s="193" t="s">
        <v>69</v>
      </c>
      <c r="F24" s="87" t="s">
        <v>70</v>
      </c>
      <c r="G24" s="188">
        <f>498</f>
        <v>498</v>
      </c>
      <c r="H24" s="188">
        <f>498</f>
        <v>498</v>
      </c>
      <c r="M24" s="92"/>
    </row>
    <row r="25" spans="1:8" ht="15.75">
      <c r="A25" s="84" t="s">
        <v>71</v>
      </c>
      <c r="B25" s="86" t="s">
        <v>72</v>
      </c>
      <c r="C25" s="188"/>
      <c r="D25" s="188">
        <f>1</f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500</v>
      </c>
      <c r="H26" s="566">
        <f>H20+H21+H22</f>
        <v>708</v>
      </c>
      <c r="M26" s="92"/>
    </row>
    <row r="27" spans="1:8" ht="15.75">
      <c r="A27" s="84" t="s">
        <v>79</v>
      </c>
      <c r="B27" s="86" t="s">
        <v>80</v>
      </c>
      <c r="C27" s="188">
        <f>2</f>
        <v>2</v>
      </c>
      <c r="D27" s="188">
        <f>4</f>
        <v>4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</v>
      </c>
      <c r="D28" s="566">
        <f>SUM(D24:D27)</f>
        <v>6</v>
      </c>
      <c r="E28" s="193" t="s">
        <v>84</v>
      </c>
      <c r="F28" s="87" t="s">
        <v>85</v>
      </c>
      <c r="G28" s="563">
        <f>SUM(G29:G31)</f>
        <v>-4423</v>
      </c>
      <c r="H28" s="564">
        <f>SUM(H29:H31)</f>
        <v>-4612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1085</f>
        <v>1085</v>
      </c>
      <c r="H29" s="188">
        <f>877</f>
        <v>877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f>-5508</f>
        <v>-5508</v>
      </c>
      <c r="H30" s="188">
        <f>-5489</f>
        <v>-5489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8">
        <v>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456</f>
        <v>456</v>
      </c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6</v>
      </c>
      <c r="D33" s="566">
        <f>D31+D32</f>
        <v>6</v>
      </c>
      <c r="E33" s="191" t="s">
        <v>101</v>
      </c>
      <c r="F33" s="87" t="s">
        <v>102</v>
      </c>
      <c r="G33" s="188"/>
      <c r="H33" s="188">
        <f>-19</f>
        <v>-19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-3967</v>
      </c>
      <c r="H34" s="566">
        <f>H28+H32+H33</f>
        <v>-4631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-67</v>
      </c>
      <c r="H37" s="568">
        <f>H26+H18+H34</f>
        <v>-523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f>399+333</f>
        <v>732</v>
      </c>
      <c r="D49" s="187"/>
      <c r="E49" s="84" t="s">
        <v>150</v>
      </c>
      <c r="F49" s="87" t="s">
        <v>151</v>
      </c>
      <c r="G49" s="188">
        <v>11</v>
      </c>
      <c r="H49" s="188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11</v>
      </c>
      <c r="H50" s="564">
        <f>SUM(H44:H49)</f>
        <v>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732</v>
      </c>
      <c r="D52" s="566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8">
        <f>61</f>
        <v>61</v>
      </c>
    </row>
    <row r="55" spans="1:8" ht="15.75">
      <c r="A55" s="94" t="s">
        <v>166</v>
      </c>
      <c r="B55" s="90" t="s">
        <v>167</v>
      </c>
      <c r="C55" s="464">
        <f>49+4</f>
        <v>53</v>
      </c>
      <c r="D55" s="464">
        <f>245</f>
        <v>245</v>
      </c>
      <c r="E55" s="84" t="s">
        <v>168</v>
      </c>
      <c r="F55" s="89" t="s">
        <v>169</v>
      </c>
      <c r="G55" s="188"/>
      <c r="H55" s="188">
        <f>237</f>
        <v>237</v>
      </c>
    </row>
    <row r="56" spans="1:13" ht="16.5" thickBot="1">
      <c r="A56" s="461" t="s">
        <v>170</v>
      </c>
      <c r="B56" s="199" t="s">
        <v>171</v>
      </c>
      <c r="C56" s="569">
        <f>C20+C21+C22+C28+C33+C46+C52+C54+C55</f>
        <v>886</v>
      </c>
      <c r="D56" s="570">
        <f>D20+D21+D22+D28+D33+D46+D52+D54+D55</f>
        <v>1988</v>
      </c>
      <c r="E56" s="94" t="s">
        <v>825</v>
      </c>
      <c r="F56" s="93" t="s">
        <v>172</v>
      </c>
      <c r="G56" s="567">
        <f>G50+G52+G53+G54+G55</f>
        <v>11</v>
      </c>
      <c r="H56" s="568">
        <f>H50+H52+H53+H54+H55</f>
        <v>309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113</f>
        <v>113</v>
      </c>
      <c r="D59" s="188">
        <f>145</f>
        <v>145</v>
      </c>
      <c r="E59" s="192" t="s">
        <v>180</v>
      </c>
      <c r="F59" s="472" t="s">
        <v>181</v>
      </c>
      <c r="G59" s="188"/>
      <c r="H59" s="188">
        <f>1423</f>
        <v>1423</v>
      </c>
    </row>
    <row r="60" spans="1:13" ht="15.75">
      <c r="A60" s="84" t="s">
        <v>178</v>
      </c>
      <c r="B60" s="86" t="s">
        <v>179</v>
      </c>
      <c r="C60" s="188">
        <f>50</f>
        <v>50</v>
      </c>
      <c r="D60" s="188">
        <f>90</f>
        <v>90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f>14</f>
        <v>14</v>
      </c>
      <c r="D61" s="188">
        <f>18</f>
        <v>18</v>
      </c>
      <c r="E61" s="191" t="s">
        <v>188</v>
      </c>
      <c r="F61" s="87" t="s">
        <v>189</v>
      </c>
      <c r="G61" s="563">
        <f>SUM(G62:G68)</f>
        <v>1737</v>
      </c>
      <c r="H61" s="564">
        <f>SUM(H62:H68)</f>
        <v>2241</v>
      </c>
    </row>
    <row r="62" spans="1:13" ht="15.75">
      <c r="A62" s="84" t="s">
        <v>186</v>
      </c>
      <c r="B62" s="88" t="s">
        <v>187</v>
      </c>
      <c r="C62" s="188">
        <f>189+1</f>
        <v>190</v>
      </c>
      <c r="D62" s="188">
        <f>396</f>
        <v>396</v>
      </c>
      <c r="E62" s="191" t="s">
        <v>192</v>
      </c>
      <c r="F62" s="87" t="s">
        <v>193</v>
      </c>
      <c r="G62" s="188">
        <f>307+77-307-75</f>
        <v>2</v>
      </c>
      <c r="H62" s="188">
        <f>46</f>
        <v>46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194</f>
        <v>194</v>
      </c>
      <c r="H63" s="188">
        <f>473</f>
        <v>473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888+32</f>
        <v>920</v>
      </c>
      <c r="H64" s="188">
        <f>1166</f>
        <v>1166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367</v>
      </c>
      <c r="D65" s="566">
        <f>SUM(D59:D64)</f>
        <v>649</v>
      </c>
      <c r="E65" s="84" t="s">
        <v>201</v>
      </c>
      <c r="F65" s="87" t="s">
        <v>202</v>
      </c>
      <c r="G65" s="188">
        <f>84</f>
        <v>84</v>
      </c>
      <c r="H65" s="188">
        <f>167</f>
        <v>167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26+2</f>
        <v>28</v>
      </c>
      <c r="H66" s="188">
        <f>26</f>
        <v>26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137+9</f>
        <v>146</v>
      </c>
      <c r="H67" s="188">
        <f>85</f>
        <v>85</v>
      </c>
    </row>
    <row r="68" spans="1:8" ht="15.75">
      <c r="A68" s="84" t="s">
        <v>206</v>
      </c>
      <c r="B68" s="86" t="s">
        <v>207</v>
      </c>
      <c r="C68" s="188">
        <f>218+402-344</f>
        <v>276</v>
      </c>
      <c r="D68" s="188">
        <f>517</f>
        <v>517</v>
      </c>
      <c r="E68" s="84" t="s">
        <v>212</v>
      </c>
      <c r="F68" s="87" t="s">
        <v>213</v>
      </c>
      <c r="G68" s="188">
        <f>307+56</f>
        <v>363</v>
      </c>
      <c r="H68" s="188">
        <f>278</f>
        <v>278</v>
      </c>
    </row>
    <row r="69" spans="1:8" ht="15.75">
      <c r="A69" s="84" t="s">
        <v>210</v>
      </c>
      <c r="B69" s="86" t="s">
        <v>211</v>
      </c>
      <c r="C69" s="188">
        <f>43+88</f>
        <v>131</v>
      </c>
      <c r="D69" s="188">
        <f>158</f>
        <v>158</v>
      </c>
      <c r="E69" s="192" t="s">
        <v>79</v>
      </c>
      <c r="F69" s="87" t="s">
        <v>216</v>
      </c>
      <c r="G69" s="188"/>
      <c r="H69" s="188">
        <f>9</f>
        <v>9</v>
      </c>
    </row>
    <row r="70" spans="1:8" ht="15.75">
      <c r="A70" s="84" t="s">
        <v>214</v>
      </c>
      <c r="B70" s="86" t="s">
        <v>215</v>
      </c>
      <c r="C70" s="188">
        <f>2</f>
        <v>2</v>
      </c>
      <c r="D70" s="188">
        <f>37</f>
        <v>37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1737</v>
      </c>
      <c r="H71" s="566">
        <f>H59+H60+H61+H69+H70</f>
        <v>3673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409</v>
      </c>
      <c r="D76" s="566">
        <f>SUM(D68:D75)</f>
        <v>712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4">
        <f>8</f>
        <v>8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1737</v>
      </c>
      <c r="H79" s="568">
        <f>H71+H73+H75+H77</f>
        <v>3681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5+13</f>
        <v>18</v>
      </c>
      <c r="D88" s="188">
        <f>82</f>
        <v>82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/>
      <c r="D89" s="188">
        <f>34</f>
        <v>34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18</v>
      </c>
      <c r="D92" s="566">
        <f>SUM(D88:D91)</f>
        <v>116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f>1</f>
        <v>1</v>
      </c>
      <c r="D93" s="465">
        <v>2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795</v>
      </c>
      <c r="D94" s="570">
        <f>D65+D76+D85+D92+D93</f>
        <v>1479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1681</v>
      </c>
      <c r="D95" s="572">
        <f>D94+D56</f>
        <v>3467</v>
      </c>
      <c r="E95" s="220" t="s">
        <v>916</v>
      </c>
      <c r="F95" s="475" t="s">
        <v>268</v>
      </c>
      <c r="G95" s="571">
        <f>G37+G40+G56+G79</f>
        <v>1681</v>
      </c>
      <c r="H95" s="572">
        <f>H37+H40+H56+H79</f>
        <v>3467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7">
        <f>pdeReportingDate</f>
        <v>43990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Николай Димитров Колев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f>200</f>
        <v>200</v>
      </c>
      <c r="D12" s="306">
        <f>771</f>
        <v>771</v>
      </c>
      <c r="E12" s="185" t="s">
        <v>277</v>
      </c>
      <c r="F12" s="231" t="s">
        <v>278</v>
      </c>
      <c r="G12" s="306">
        <f>964</f>
        <v>964</v>
      </c>
      <c r="H12" s="306">
        <f>2296</f>
        <v>2296</v>
      </c>
    </row>
    <row r="13" spans="1:8" ht="15.75">
      <c r="A13" s="185" t="s">
        <v>279</v>
      </c>
      <c r="B13" s="181" t="s">
        <v>280</v>
      </c>
      <c r="C13" s="306">
        <f>356</f>
        <v>356</v>
      </c>
      <c r="D13" s="306">
        <f>327</f>
        <v>327</v>
      </c>
      <c r="E13" s="185" t="s">
        <v>281</v>
      </c>
      <c r="F13" s="231" t="s">
        <v>282</v>
      </c>
      <c r="G13" s="306">
        <f>57</f>
        <v>57</v>
      </c>
      <c r="H13" s="306">
        <f>17</f>
        <v>17</v>
      </c>
    </row>
    <row r="14" spans="1:8" ht="15.75">
      <c r="A14" s="185" t="s">
        <v>283</v>
      </c>
      <c r="B14" s="181" t="s">
        <v>284</v>
      </c>
      <c r="C14" s="306">
        <f>21</f>
        <v>21</v>
      </c>
      <c r="D14" s="306">
        <f>36</f>
        <v>36</v>
      </c>
      <c r="E14" s="236" t="s">
        <v>285</v>
      </c>
      <c r="F14" s="231" t="s">
        <v>286</v>
      </c>
      <c r="G14" s="306">
        <f>351</f>
        <v>351</v>
      </c>
      <c r="H14" s="306">
        <f>4</f>
        <v>4</v>
      </c>
    </row>
    <row r="15" spans="1:8" ht="15.75">
      <c r="A15" s="185" t="s">
        <v>287</v>
      </c>
      <c r="B15" s="181" t="s">
        <v>288</v>
      </c>
      <c r="C15" s="306">
        <f>415</f>
        <v>415</v>
      </c>
      <c r="D15" s="306">
        <f>419</f>
        <v>419</v>
      </c>
      <c r="E15" s="236" t="s">
        <v>79</v>
      </c>
      <c r="F15" s="231" t="s">
        <v>289</v>
      </c>
      <c r="G15" s="306">
        <f>2476</f>
        <v>2476</v>
      </c>
      <c r="H15" s="306">
        <f>146</f>
        <v>146</v>
      </c>
    </row>
    <row r="16" spans="1:8" ht="15.75">
      <c r="A16" s="185" t="s">
        <v>290</v>
      </c>
      <c r="B16" s="181" t="s">
        <v>291</v>
      </c>
      <c r="C16" s="306">
        <f>63</f>
        <v>63</v>
      </c>
      <c r="D16" s="306">
        <f>60</f>
        <v>60</v>
      </c>
      <c r="E16" s="227" t="s">
        <v>52</v>
      </c>
      <c r="F16" s="255" t="s">
        <v>292</v>
      </c>
      <c r="G16" s="596">
        <f>SUM(G12:G15)</f>
        <v>3848</v>
      </c>
      <c r="H16" s="597">
        <f>SUM(H12:H15)</f>
        <v>2463</v>
      </c>
    </row>
    <row r="17" spans="1:8" ht="31.5">
      <c r="A17" s="185" t="s">
        <v>293</v>
      </c>
      <c r="B17" s="181" t="s">
        <v>294</v>
      </c>
      <c r="C17" s="306">
        <f>1688</f>
        <v>1688</v>
      </c>
      <c r="D17" s="306">
        <f>16</f>
        <v>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f>413</f>
        <v>413</v>
      </c>
      <c r="D18" s="306">
        <f>329</f>
        <v>329</v>
      </c>
      <c r="E18" s="225" t="s">
        <v>297</v>
      </c>
      <c r="F18" s="229" t="s">
        <v>298</v>
      </c>
      <c r="G18" s="607">
        <f>262</f>
        <v>262</v>
      </c>
      <c r="H18" s="607">
        <f>14</f>
        <v>14</v>
      </c>
    </row>
    <row r="19" spans="1:8" ht="15.75">
      <c r="A19" s="185" t="s">
        <v>299</v>
      </c>
      <c r="B19" s="181" t="s">
        <v>300</v>
      </c>
      <c r="C19" s="306">
        <f>273</f>
        <v>273</v>
      </c>
      <c r="D19" s="306">
        <f>328</f>
        <v>328</v>
      </c>
      <c r="E19" s="185" t="s">
        <v>301</v>
      </c>
      <c r="F19" s="228" t="s">
        <v>302</v>
      </c>
      <c r="G19" s="306">
        <f>262</f>
        <v>262</v>
      </c>
      <c r="H19" s="306">
        <f>14</f>
        <v>14</v>
      </c>
    </row>
    <row r="20" spans="1:8" ht="15.75">
      <c r="A20" s="226" t="s">
        <v>303</v>
      </c>
      <c r="B20" s="181" t="s">
        <v>304</v>
      </c>
      <c r="C20" s="306">
        <f>126</f>
        <v>126</v>
      </c>
      <c r="D20" s="306">
        <f>133</f>
        <v>133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3429</v>
      </c>
      <c r="D22" s="597">
        <f>SUM(D12:D18)+D19</f>
        <v>2286</v>
      </c>
      <c r="E22" s="185" t="s">
        <v>309</v>
      </c>
      <c r="F22" s="228" t="s">
        <v>310</v>
      </c>
      <c r="G22" s="306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f>94</f>
        <v>94</v>
      </c>
      <c r="D25" s="306">
        <f>197</f>
        <v>197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/>
      <c r="D28" s="306">
        <f>2</f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94</v>
      </c>
      <c r="D29" s="597">
        <f>SUM(D25:D28)</f>
        <v>199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3523</v>
      </c>
      <c r="D31" s="603">
        <f>D29+D22</f>
        <v>2485</v>
      </c>
      <c r="E31" s="242" t="s">
        <v>800</v>
      </c>
      <c r="F31" s="257" t="s">
        <v>331</v>
      </c>
      <c r="G31" s="244">
        <f>G16+G18+G27</f>
        <v>4110</v>
      </c>
      <c r="H31" s="245">
        <f>H16+H18+H27</f>
        <v>2477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587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8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3523</v>
      </c>
      <c r="D36" s="605">
        <f>D31-D34+D35</f>
        <v>2485</v>
      </c>
      <c r="E36" s="253" t="s">
        <v>346</v>
      </c>
      <c r="F36" s="247" t="s">
        <v>347</v>
      </c>
      <c r="G36" s="258">
        <f>G35-G34+G31</f>
        <v>4110</v>
      </c>
      <c r="H36" s="259">
        <f>H35-H34+H31</f>
        <v>2477</v>
      </c>
    </row>
    <row r="37" spans="1:8" ht="15.75">
      <c r="A37" s="252" t="s">
        <v>348</v>
      </c>
      <c r="B37" s="222" t="s">
        <v>349</v>
      </c>
      <c r="C37" s="602">
        <f>IF((G36-C36)&gt;0,G36-C36,0)</f>
        <v>587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8</v>
      </c>
    </row>
    <row r="38" spans="1:8" ht="15.75">
      <c r="A38" s="225" t="s">
        <v>352</v>
      </c>
      <c r="B38" s="229" t="s">
        <v>353</v>
      </c>
      <c r="C38" s="596">
        <f>C39+C40+C41</f>
        <v>131</v>
      </c>
      <c r="D38" s="597">
        <f>D39+D40+D41</f>
        <v>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f>131</f>
        <v>131</v>
      </c>
      <c r="D40" s="306">
        <f>11</f>
        <v>11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456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456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19</v>
      </c>
    </row>
    <row r="45" spans="1:8" ht="16.5" thickBot="1">
      <c r="A45" s="261" t="s">
        <v>371</v>
      </c>
      <c r="B45" s="262" t="s">
        <v>372</v>
      </c>
      <c r="C45" s="598">
        <f>C36+C38+C42</f>
        <v>4110</v>
      </c>
      <c r="D45" s="599">
        <f>D36+D38+D42</f>
        <v>2496</v>
      </c>
      <c r="E45" s="261" t="s">
        <v>373</v>
      </c>
      <c r="F45" s="263" t="s">
        <v>374</v>
      </c>
      <c r="G45" s="598">
        <f>G42+G36</f>
        <v>4110</v>
      </c>
      <c r="H45" s="599">
        <f>H42+H36</f>
        <v>2496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0" t="s">
        <v>951</v>
      </c>
      <c r="B47" s="670"/>
      <c r="C47" s="670"/>
      <c r="D47" s="670"/>
      <c r="E47" s="670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7">
        <f>pdeReportingDate</f>
        <v>43990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Николай Димитров Колев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2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2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2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2"/>
      <c r="G58" s="44"/>
      <c r="H58" s="41"/>
    </row>
    <row r="59" spans="1:8" ht="15.75">
      <c r="A59" s="661"/>
      <c r="B59" s="666"/>
      <c r="C59" s="666"/>
      <c r="D59" s="666"/>
      <c r="E59" s="666"/>
      <c r="F59" s="542"/>
      <c r="G59" s="44"/>
      <c r="H59" s="41"/>
    </row>
    <row r="60" spans="1:8" ht="15.75">
      <c r="A60" s="661"/>
      <c r="B60" s="666"/>
      <c r="C60" s="666"/>
      <c r="D60" s="666"/>
      <c r="E60" s="666"/>
      <c r="F60" s="542"/>
      <c r="G60" s="44"/>
      <c r="H60" s="41"/>
    </row>
    <row r="61" spans="1:8" ht="15.75">
      <c r="A61" s="661"/>
      <c r="B61" s="666"/>
      <c r="C61" s="666"/>
      <c r="D61" s="666"/>
      <c r="E61" s="666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799</f>
        <v>799</v>
      </c>
      <c r="D11" s="188">
        <f>1424</f>
        <v>1424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-464</f>
        <v>-464</v>
      </c>
      <c r="D12" s="188">
        <f>-817</f>
        <v>-817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-386</f>
        <v>-386</v>
      </c>
      <c r="D14" s="188">
        <f>-433</f>
        <v>-433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-63</f>
        <v>-63</v>
      </c>
      <c r="D15" s="188">
        <f>-59</f>
        <v>-59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f>-2</f>
        <v>-2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16</f>
        <v>16</v>
      </c>
      <c r="D20" s="188">
        <f>-2</f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-98</v>
      </c>
      <c r="D21" s="626">
        <f>SUM(D11:D20)</f>
        <v>111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-98</v>
      </c>
      <c r="D44" s="298">
        <f>D43+D33+D21</f>
        <v>111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116</v>
      </c>
      <c r="D45" s="299">
        <v>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18</v>
      </c>
      <c r="D46" s="301">
        <f>D45+D44</f>
        <v>116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f>18</f>
        <v>18</v>
      </c>
      <c r="D47" s="289">
        <v>116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43990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Николай Димитров Колев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2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2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2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2"/>
      <c r="G62" s="44"/>
      <c r="H62" s="41"/>
    </row>
    <row r="63" spans="1:8" ht="15.75">
      <c r="A63" s="661"/>
      <c r="B63" s="666"/>
      <c r="C63" s="666"/>
      <c r="D63" s="666"/>
      <c r="E63" s="666"/>
      <c r="F63" s="542"/>
      <c r="G63" s="44"/>
      <c r="H63" s="41"/>
    </row>
    <row r="64" spans="1:8" ht="15.75">
      <c r="A64" s="661"/>
      <c r="B64" s="666"/>
      <c r="C64" s="666"/>
      <c r="D64" s="666"/>
      <c r="E64" s="666"/>
      <c r="F64" s="542"/>
      <c r="G64" s="44"/>
      <c r="H64" s="41"/>
    </row>
    <row r="65" spans="1:8" ht="15.75">
      <c r="A65" s="661"/>
      <c r="B65" s="666"/>
      <c r="C65" s="666"/>
      <c r="D65" s="666"/>
      <c r="E65" s="666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6" t="s">
        <v>453</v>
      </c>
      <c r="B8" s="679" t="s">
        <v>454</v>
      </c>
      <c r="C8" s="672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2" t="s">
        <v>460</v>
      </c>
      <c r="L8" s="672" t="s">
        <v>461</v>
      </c>
      <c r="M8" s="499"/>
      <c r="N8" s="500"/>
    </row>
    <row r="9" spans="1:14" s="501" customFormat="1" ht="31.5">
      <c r="A9" s="677"/>
      <c r="B9" s="680"/>
      <c r="C9" s="673"/>
      <c r="D9" s="675" t="s">
        <v>802</v>
      </c>
      <c r="E9" s="675" t="s">
        <v>456</v>
      </c>
      <c r="F9" s="503" t="s">
        <v>457</v>
      </c>
      <c r="G9" s="503"/>
      <c r="H9" s="503"/>
      <c r="I9" s="682" t="s">
        <v>458</v>
      </c>
      <c r="J9" s="682" t="s">
        <v>459</v>
      </c>
      <c r="K9" s="673"/>
      <c r="L9" s="673"/>
      <c r="M9" s="504" t="s">
        <v>801</v>
      </c>
      <c r="N9" s="500"/>
    </row>
    <row r="10" spans="1:14" s="501" customFormat="1" ht="31.5">
      <c r="A10" s="678"/>
      <c r="B10" s="681"/>
      <c r="C10" s="674"/>
      <c r="D10" s="675"/>
      <c r="E10" s="675"/>
      <c r="F10" s="502" t="s">
        <v>462</v>
      </c>
      <c r="G10" s="502" t="s">
        <v>463</v>
      </c>
      <c r="H10" s="502" t="s">
        <v>464</v>
      </c>
      <c r="I10" s="674"/>
      <c r="J10" s="674"/>
      <c r="K10" s="674"/>
      <c r="L10" s="674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3400</v>
      </c>
      <c r="D13" s="552">
        <f>'1-Баланс'!H20</f>
        <v>0</v>
      </c>
      <c r="E13" s="552">
        <f>'1-Баланс'!H21</f>
        <v>210</v>
      </c>
      <c r="F13" s="552">
        <f>'1-Баланс'!H23</f>
        <v>0</v>
      </c>
      <c r="G13" s="552">
        <f>'1-Баланс'!H24</f>
        <v>498</v>
      </c>
      <c r="H13" s="553"/>
      <c r="I13" s="552">
        <f>'1-Баланс'!H29+'1-Баланс'!H32</f>
        <v>877</v>
      </c>
      <c r="J13" s="552">
        <f>'1-Баланс'!H30+'1-Баланс'!H33</f>
        <v>-5508</v>
      </c>
      <c r="K13" s="553"/>
      <c r="L13" s="552">
        <f>SUM(C13:K13)</f>
        <v>-523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3400</v>
      </c>
      <c r="D17" s="620">
        <f aca="true" t="shared" si="2" ref="D17:M17">D13+D14</f>
        <v>0</v>
      </c>
      <c r="E17" s="620">
        <f t="shared" si="2"/>
        <v>210</v>
      </c>
      <c r="F17" s="620">
        <f t="shared" si="2"/>
        <v>0</v>
      </c>
      <c r="G17" s="620">
        <f t="shared" si="2"/>
        <v>498</v>
      </c>
      <c r="H17" s="620">
        <f t="shared" si="2"/>
        <v>0</v>
      </c>
      <c r="I17" s="620">
        <f t="shared" si="2"/>
        <v>877</v>
      </c>
      <c r="J17" s="620">
        <f t="shared" si="2"/>
        <v>-5508</v>
      </c>
      <c r="K17" s="620">
        <f t="shared" si="2"/>
        <v>0</v>
      </c>
      <c r="L17" s="552">
        <f t="shared" si="1"/>
        <v>-523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2">
        <f>+'1-Баланс'!G32</f>
        <v>456</v>
      </c>
      <c r="J18" s="552">
        <f>+'1-Баланс'!G33</f>
        <v>0</v>
      </c>
      <c r="K18" s="553"/>
      <c r="L18" s="552">
        <f t="shared" si="1"/>
        <v>456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f>-208</f>
        <v>-208</v>
      </c>
      <c r="F30" s="306"/>
      <c r="G30" s="306"/>
      <c r="H30" s="306"/>
      <c r="I30" s="306">
        <f>208</f>
        <v>208</v>
      </c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3400</v>
      </c>
      <c r="D31" s="620">
        <f aca="true" t="shared" si="6" ref="D31:M31">D19+D22+D23+D26+D30+D29+D17+D18</f>
        <v>0</v>
      </c>
      <c r="E31" s="620">
        <f t="shared" si="6"/>
        <v>2</v>
      </c>
      <c r="F31" s="620">
        <f t="shared" si="6"/>
        <v>0</v>
      </c>
      <c r="G31" s="620">
        <f t="shared" si="6"/>
        <v>498</v>
      </c>
      <c r="H31" s="620">
        <f t="shared" si="6"/>
        <v>0</v>
      </c>
      <c r="I31" s="620">
        <f t="shared" si="6"/>
        <v>1541</v>
      </c>
      <c r="J31" s="620">
        <f t="shared" si="6"/>
        <v>-5508</v>
      </c>
      <c r="K31" s="620">
        <f t="shared" si="6"/>
        <v>0</v>
      </c>
      <c r="L31" s="552">
        <f t="shared" si="1"/>
        <v>-67</v>
      </c>
      <c r="M31" s="621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3400</v>
      </c>
      <c r="D34" s="555">
        <f t="shared" si="7"/>
        <v>0</v>
      </c>
      <c r="E34" s="555">
        <f t="shared" si="7"/>
        <v>2</v>
      </c>
      <c r="F34" s="555">
        <f t="shared" si="7"/>
        <v>0</v>
      </c>
      <c r="G34" s="555">
        <f t="shared" si="7"/>
        <v>498</v>
      </c>
      <c r="H34" s="555">
        <f t="shared" si="7"/>
        <v>0</v>
      </c>
      <c r="I34" s="555">
        <f t="shared" si="7"/>
        <v>1541</v>
      </c>
      <c r="J34" s="555">
        <f t="shared" si="7"/>
        <v>-5508</v>
      </c>
      <c r="K34" s="555">
        <f t="shared" si="7"/>
        <v>0</v>
      </c>
      <c r="L34" s="618">
        <f t="shared" si="1"/>
        <v>-67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7">
        <f>pdeReportingDate</f>
        <v>43990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Николай Димитров Колев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2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2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2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2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2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2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3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510</v>
      </c>
      <c r="E11" s="318"/>
      <c r="F11" s="318">
        <f>121+95+185+59</f>
        <v>460</v>
      </c>
      <c r="G11" s="319">
        <f>D11+E11-F11</f>
        <v>50</v>
      </c>
      <c r="H11" s="318"/>
      <c r="I11" s="318"/>
      <c r="J11" s="319">
        <f>G11+H11-I11</f>
        <v>50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856</v>
      </c>
      <c r="E12" s="318"/>
      <c r="F12" s="318">
        <f>856</f>
        <v>856</v>
      </c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139</v>
      </c>
      <c r="L12" s="318">
        <v>5</v>
      </c>
      <c r="M12" s="318">
        <v>144</v>
      </c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62</v>
      </c>
      <c r="E13" s="318"/>
      <c r="F13" s="318">
        <f>2</f>
        <v>2</v>
      </c>
      <c r="G13" s="319">
        <f t="shared" si="2"/>
        <v>60</v>
      </c>
      <c r="H13" s="318"/>
      <c r="I13" s="318"/>
      <c r="J13" s="319">
        <f t="shared" si="3"/>
        <v>60</v>
      </c>
      <c r="K13" s="318">
        <v>61</v>
      </c>
      <c r="L13" s="318">
        <v>1</v>
      </c>
      <c r="M13" s="318">
        <v>2</v>
      </c>
      <c r="N13" s="319">
        <f t="shared" si="4"/>
        <v>60</v>
      </c>
      <c r="O13" s="318"/>
      <c r="P13" s="318"/>
      <c r="Q13" s="319">
        <f t="shared" si="0"/>
        <v>60</v>
      </c>
      <c r="R13" s="330">
        <f t="shared" si="1"/>
        <v>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99</v>
      </c>
      <c r="E15" s="318"/>
      <c r="F15" s="318"/>
      <c r="G15" s="319">
        <f t="shared" si="2"/>
        <v>99</v>
      </c>
      <c r="H15" s="318"/>
      <c r="I15" s="318"/>
      <c r="J15" s="319">
        <f t="shared" si="3"/>
        <v>99</v>
      </c>
      <c r="K15" s="318">
        <v>99</v>
      </c>
      <c r="L15" s="318"/>
      <c r="M15" s="318"/>
      <c r="N15" s="319">
        <f t="shared" si="4"/>
        <v>99</v>
      </c>
      <c r="O15" s="318"/>
      <c r="P15" s="318"/>
      <c r="Q15" s="319">
        <f t="shared" si="0"/>
        <v>99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48</v>
      </c>
      <c r="E16" s="318"/>
      <c r="F16" s="318">
        <f>7</f>
        <v>7</v>
      </c>
      <c r="G16" s="319">
        <f t="shared" si="2"/>
        <v>41</v>
      </c>
      <c r="H16" s="318"/>
      <c r="I16" s="318"/>
      <c r="J16" s="319">
        <f t="shared" si="3"/>
        <v>41</v>
      </c>
      <c r="K16" s="318">
        <v>37</v>
      </c>
      <c r="L16" s="318">
        <v>4</v>
      </c>
      <c r="M16" s="318">
        <v>7</v>
      </c>
      <c r="N16" s="319">
        <f t="shared" si="4"/>
        <v>34</v>
      </c>
      <c r="O16" s="318"/>
      <c r="P16" s="318"/>
      <c r="Q16" s="319">
        <f t="shared" si="0"/>
        <v>34</v>
      </c>
      <c r="R16" s="330">
        <f t="shared" si="1"/>
        <v>7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356</v>
      </c>
      <c r="E18" s="318"/>
      <c r="F18" s="318">
        <f>320</f>
        <v>320</v>
      </c>
      <c r="G18" s="319">
        <f t="shared" si="2"/>
        <v>36</v>
      </c>
      <c r="H18" s="318"/>
      <c r="I18" s="318"/>
      <c r="J18" s="319">
        <f t="shared" si="3"/>
        <v>36</v>
      </c>
      <c r="K18" s="318">
        <v>37</v>
      </c>
      <c r="L18" s="318">
        <v>7</v>
      </c>
      <c r="M18" s="318">
        <v>44</v>
      </c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36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1931</v>
      </c>
      <c r="E19" s="320">
        <f>SUM(E11:E18)</f>
        <v>0</v>
      </c>
      <c r="F19" s="320">
        <f>SUM(F11:F18)</f>
        <v>1645</v>
      </c>
      <c r="G19" s="319">
        <f t="shared" si="2"/>
        <v>286</v>
      </c>
      <c r="H19" s="320">
        <f>SUM(H11:H18)</f>
        <v>0</v>
      </c>
      <c r="I19" s="320">
        <f>SUM(I11:I18)</f>
        <v>0</v>
      </c>
      <c r="J19" s="319">
        <f t="shared" si="3"/>
        <v>286</v>
      </c>
      <c r="K19" s="320">
        <f>SUM(K11:K18)</f>
        <v>373</v>
      </c>
      <c r="L19" s="320">
        <f>SUM(L11:L18)</f>
        <v>17</v>
      </c>
      <c r="M19" s="320">
        <f>SUM(M11:M18)</f>
        <v>197</v>
      </c>
      <c r="N19" s="319">
        <f t="shared" si="4"/>
        <v>193</v>
      </c>
      <c r="O19" s="320">
        <f>SUM(O11:O18)</f>
        <v>0</v>
      </c>
      <c r="P19" s="320">
        <f>SUM(P11:P18)</f>
        <v>0</v>
      </c>
      <c r="Q19" s="319">
        <f t="shared" si="0"/>
        <v>193</v>
      </c>
      <c r="R19" s="330">
        <f t="shared" si="1"/>
        <v>93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173</v>
      </c>
      <c r="E21" s="318"/>
      <c r="F21" s="318">
        <f>173</f>
        <v>173</v>
      </c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44</v>
      </c>
      <c r="E23" s="318"/>
      <c r="F23" s="318">
        <f>21</f>
        <v>21</v>
      </c>
      <c r="G23" s="319">
        <f t="shared" si="2"/>
        <v>23</v>
      </c>
      <c r="H23" s="318"/>
      <c r="I23" s="318"/>
      <c r="J23" s="319">
        <f t="shared" si="3"/>
        <v>23</v>
      </c>
      <c r="K23" s="318">
        <v>43</v>
      </c>
      <c r="L23" s="318">
        <v>1</v>
      </c>
      <c r="M23" s="318">
        <v>21</v>
      </c>
      <c r="N23" s="319">
        <f t="shared" si="4"/>
        <v>23</v>
      </c>
      <c r="O23" s="318"/>
      <c r="P23" s="318"/>
      <c r="Q23" s="319">
        <f t="shared" si="0"/>
        <v>23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15</v>
      </c>
      <c r="E24" s="318"/>
      <c r="F24" s="318"/>
      <c r="G24" s="319">
        <f t="shared" si="2"/>
        <v>15</v>
      </c>
      <c r="H24" s="318"/>
      <c r="I24" s="318"/>
      <c r="J24" s="319">
        <f t="shared" si="3"/>
        <v>15</v>
      </c>
      <c r="K24" s="318">
        <v>14</v>
      </c>
      <c r="L24" s="318">
        <v>1</v>
      </c>
      <c r="M24" s="318"/>
      <c r="N24" s="319">
        <f t="shared" si="4"/>
        <v>15</v>
      </c>
      <c r="O24" s="318"/>
      <c r="P24" s="318"/>
      <c r="Q24" s="319">
        <f t="shared" si="0"/>
        <v>15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27</v>
      </c>
      <c r="E26" s="318"/>
      <c r="F26" s="318">
        <f>10</f>
        <v>10</v>
      </c>
      <c r="G26" s="319">
        <f t="shared" si="2"/>
        <v>17</v>
      </c>
      <c r="H26" s="318"/>
      <c r="I26" s="318"/>
      <c r="J26" s="319">
        <f t="shared" si="3"/>
        <v>17</v>
      </c>
      <c r="K26" s="318">
        <v>23</v>
      </c>
      <c r="L26" s="318">
        <v>2</v>
      </c>
      <c r="M26" s="318">
        <v>10</v>
      </c>
      <c r="N26" s="319">
        <f t="shared" si="4"/>
        <v>15</v>
      </c>
      <c r="O26" s="318"/>
      <c r="P26" s="318"/>
      <c r="Q26" s="319">
        <f t="shared" si="0"/>
        <v>15</v>
      </c>
      <c r="R26" s="330">
        <f t="shared" si="1"/>
        <v>2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86</v>
      </c>
      <c r="E27" s="322">
        <f aca="true" t="shared" si="5" ref="E27:P27">SUM(E23:E26)</f>
        <v>0</v>
      </c>
      <c r="F27" s="322">
        <f t="shared" si="5"/>
        <v>31</v>
      </c>
      <c r="G27" s="323">
        <f t="shared" si="2"/>
        <v>55</v>
      </c>
      <c r="H27" s="322">
        <f t="shared" si="5"/>
        <v>0</v>
      </c>
      <c r="I27" s="322">
        <f t="shared" si="5"/>
        <v>0</v>
      </c>
      <c r="J27" s="323">
        <f t="shared" si="3"/>
        <v>55</v>
      </c>
      <c r="K27" s="322">
        <f t="shared" si="5"/>
        <v>80</v>
      </c>
      <c r="L27" s="322">
        <f t="shared" si="5"/>
        <v>4</v>
      </c>
      <c r="M27" s="322">
        <f t="shared" si="5"/>
        <v>31</v>
      </c>
      <c r="N27" s="323">
        <f t="shared" si="4"/>
        <v>53</v>
      </c>
      <c r="O27" s="322">
        <f t="shared" si="5"/>
        <v>0</v>
      </c>
      <c r="P27" s="322">
        <f t="shared" si="5"/>
        <v>0</v>
      </c>
      <c r="Q27" s="323">
        <f t="shared" si="0"/>
        <v>53</v>
      </c>
      <c r="R27" s="333">
        <f t="shared" si="1"/>
        <v>2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</v>
      </c>
      <c r="E41" s="318"/>
      <c r="F41" s="318"/>
      <c r="G41" s="319">
        <f t="shared" si="2"/>
        <v>6</v>
      </c>
      <c r="H41" s="318"/>
      <c r="I41" s="318"/>
      <c r="J41" s="319">
        <f t="shared" si="3"/>
        <v>6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2196</v>
      </c>
      <c r="E42" s="339">
        <f>E19+E20+E21+E27+E40+E41</f>
        <v>0</v>
      </c>
      <c r="F42" s="339">
        <f aca="true" t="shared" si="11" ref="F42:R42">F19+F20+F21+F27+F40+F41</f>
        <v>1849</v>
      </c>
      <c r="G42" s="339">
        <f t="shared" si="11"/>
        <v>347</v>
      </c>
      <c r="H42" s="339">
        <f t="shared" si="11"/>
        <v>0</v>
      </c>
      <c r="I42" s="339">
        <f t="shared" si="11"/>
        <v>0</v>
      </c>
      <c r="J42" s="339">
        <f t="shared" si="11"/>
        <v>347</v>
      </c>
      <c r="K42" s="339">
        <f t="shared" si="11"/>
        <v>453</v>
      </c>
      <c r="L42" s="339">
        <f t="shared" si="11"/>
        <v>21</v>
      </c>
      <c r="M42" s="339">
        <f t="shared" si="11"/>
        <v>228</v>
      </c>
      <c r="N42" s="339">
        <f t="shared" si="11"/>
        <v>246</v>
      </c>
      <c r="O42" s="339">
        <f t="shared" si="11"/>
        <v>0</v>
      </c>
      <c r="P42" s="339">
        <f t="shared" si="11"/>
        <v>0</v>
      </c>
      <c r="Q42" s="339">
        <f t="shared" si="11"/>
        <v>246</v>
      </c>
      <c r="R42" s="340">
        <f t="shared" si="11"/>
        <v>101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7">
        <f>pdeReportingDate</f>
        <v>43990</v>
      </c>
      <c r="D45" s="667"/>
      <c r="E45" s="667"/>
      <c r="F45" s="667"/>
      <c r="G45" s="667"/>
      <c r="H45" s="667"/>
      <c r="I45" s="667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Николай Димитров Колев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2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2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2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2"/>
      <c r="H53" s="44"/>
      <c r="I53" s="41"/>
    </row>
    <row r="54" spans="2:9" ht="15.75">
      <c r="B54" s="661"/>
      <c r="C54" s="666"/>
      <c r="D54" s="666"/>
      <c r="E54" s="666"/>
      <c r="F54" s="666"/>
      <c r="G54" s="542"/>
      <c r="H54" s="44"/>
      <c r="I54" s="41"/>
    </row>
    <row r="55" spans="2:9" ht="15.75">
      <c r="B55" s="661"/>
      <c r="C55" s="666"/>
      <c r="D55" s="666"/>
      <c r="E55" s="666"/>
      <c r="F55" s="666"/>
      <c r="G55" s="542"/>
      <c r="H55" s="44"/>
      <c r="I55" s="41"/>
    </row>
    <row r="56" spans="2:9" ht="15.75">
      <c r="B56" s="661"/>
      <c r="C56" s="666"/>
      <c r="D56" s="666"/>
      <c r="E56" s="666"/>
      <c r="F56" s="666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K22 G25:K25 G23:J23 N23:Q23 G24:J24 N24:Q24 G28:Q42 G26:J26 N26:Q26 N25:Q25 N19:Q22 G27:K27 N27:Q27" formula="1"/>
    <ignoredError sqref="A11:A40" numberStoredAsText="1"/>
    <ignoredError sqref="L14:M14 L25:M25 L17:M17 F17:F18 F25 F11:F14 F15:F16 F26:F28 F19:F24" unlockedFormula="1"/>
    <ignoredError sqref="L27:M27 L19:M2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5" t="s">
        <v>588</v>
      </c>
      <c r="E8" s="356"/>
      <c r="F8" s="118"/>
    </row>
    <row r="9" spans="1:6" s="119" customFormat="1" ht="15.75">
      <c r="A9" s="697"/>
      <c r="B9" s="699"/>
      <c r="C9" s="695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732</v>
      </c>
      <c r="D13" s="352">
        <f>SUM(D14:D16)</f>
        <v>0</v>
      </c>
      <c r="E13" s="359">
        <f>SUM(E14:E16)</f>
        <v>732</v>
      </c>
      <c r="F13" s="124"/>
    </row>
    <row r="14" spans="1:6" ht="15.75">
      <c r="A14" s="360" t="s">
        <v>596</v>
      </c>
      <c r="B14" s="126" t="s">
        <v>597</v>
      </c>
      <c r="C14" s="358">
        <f>399+333</f>
        <v>732</v>
      </c>
      <c r="D14" s="358"/>
      <c r="E14" s="359">
        <f aca="true" t="shared" si="0" ref="E14:E44">C14-D14</f>
        <v>732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732</v>
      </c>
      <c r="D21" s="430">
        <f>D13+D17+D18</f>
        <v>0</v>
      </c>
      <c r="E21" s="431">
        <f>E13+E17+E18</f>
        <v>732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49+4</f>
        <v>53</v>
      </c>
      <c r="D23" s="433"/>
      <c r="E23" s="432">
        <f t="shared" si="0"/>
        <v>53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276</v>
      </c>
      <c r="D26" s="352">
        <f>SUM(D27:D29)</f>
        <v>276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>131</f>
        <v>131</v>
      </c>
      <c r="D28" s="358">
        <f>131</f>
        <v>131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87+58</f>
        <v>145</v>
      </c>
      <c r="D29" s="358">
        <f>87+58</f>
        <v>145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43+88</f>
        <v>131</v>
      </c>
      <c r="D30" s="358">
        <f>43+88</f>
        <v>131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2</f>
        <v>2</v>
      </c>
      <c r="D31" s="358">
        <f>2</f>
        <v>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409</v>
      </c>
      <c r="D45" s="428">
        <f>D26+D30+D31+D33+D32+D34+D35+D40</f>
        <v>409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1194</v>
      </c>
      <c r="D46" s="434">
        <f>D45+D23+D21+D11</f>
        <v>409</v>
      </c>
      <c r="E46" s="435">
        <f>E45+E23+E21+E11</f>
        <v>785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5" t="s">
        <v>659</v>
      </c>
      <c r="E50" s="355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11</f>
        <v>11</v>
      </c>
      <c r="D66" s="188"/>
      <c r="E66" s="127">
        <f t="shared" si="1"/>
        <v>11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11</v>
      </c>
      <c r="D68" s="425">
        <f>D54+D58+D63+D64+D65+D66</f>
        <v>0</v>
      </c>
      <c r="E68" s="426">
        <f t="shared" si="1"/>
        <v>11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77-75</f>
        <v>2</v>
      </c>
      <c r="D74" s="188">
        <f>77-75</f>
        <v>2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1735</v>
      </c>
      <c r="D87" s="125">
        <f>SUM(D88:D92)+D96</f>
        <v>1735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194</f>
        <v>194</v>
      </c>
      <c r="D88" s="188">
        <f>194</f>
        <v>194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888+32</f>
        <v>920</v>
      </c>
      <c r="D89" s="188">
        <f>888+32</f>
        <v>920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84</f>
        <v>84</v>
      </c>
      <c r="D90" s="188">
        <f>84</f>
        <v>84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26+2</f>
        <v>28</v>
      </c>
      <c r="D91" s="188">
        <f>26+2</f>
        <v>28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363</v>
      </c>
      <c r="D92" s="129">
        <f>SUM(D93:D95)</f>
        <v>363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165+51</f>
        <v>216</v>
      </c>
      <c r="D94" s="188">
        <f>165+51</f>
        <v>216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142+5</f>
        <v>147</v>
      </c>
      <c r="D95" s="188">
        <f>142+5</f>
        <v>147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137+9</f>
        <v>146</v>
      </c>
      <c r="D96" s="188">
        <f>137+9</f>
        <v>146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1737</v>
      </c>
      <c r="D98" s="423">
        <f>D87+D82+D77+D73+D97</f>
        <v>1737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1748</v>
      </c>
      <c r="D99" s="417">
        <f>D98+D70+D68</f>
        <v>1737</v>
      </c>
      <c r="E99" s="417">
        <f>E98+E70+E68</f>
        <v>11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43990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Николай Димитров Колев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7">
        <f>pdeReportingDate</f>
        <v>43990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Николай Димитров Колев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ТОДОРОВ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1681</v>
      </c>
      <c r="D6" s="642">
        <f aca="true" t="shared" si="0" ref="D6:D15">C6-E6</f>
        <v>0</v>
      </c>
      <c r="E6" s="641">
        <f>'1-Баланс'!G95</f>
        <v>1681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-67</v>
      </c>
      <c r="D7" s="642">
        <f t="shared" si="0"/>
        <v>-3467</v>
      </c>
      <c r="E7" s="641">
        <f>'1-Баланс'!G18</f>
        <v>3400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456</v>
      </c>
      <c r="D8" s="642">
        <f t="shared" si="0"/>
        <v>0</v>
      </c>
      <c r="E8" s="641">
        <f>ABS('2-Отчет за доходите'!C44)-ABS('2-Отчет за доходите'!G44)</f>
        <v>456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116</v>
      </c>
      <c r="D9" s="642">
        <f t="shared" si="0"/>
        <v>0</v>
      </c>
      <c r="E9" s="641">
        <f>'3-Отчет за паричния поток'!C45</f>
        <v>116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18</v>
      </c>
      <c r="D10" s="642">
        <f t="shared" si="0"/>
        <v>0</v>
      </c>
      <c r="E10" s="641">
        <f>'3-Отчет за паричния поток'!C46</f>
        <v>18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-67</v>
      </c>
      <c r="D11" s="642">
        <f t="shared" si="0"/>
        <v>0</v>
      </c>
      <c r="E11" s="641">
        <f>'4-Отчет за собствения капитал'!L34</f>
        <v>-67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2020-07-10T17:34:47Z</cp:lastPrinted>
  <dcterms:created xsi:type="dcterms:W3CDTF">2006-09-16T00:00:00Z</dcterms:created>
  <dcterms:modified xsi:type="dcterms:W3CDTF">2020-07-14T14:38:39Z</dcterms:modified>
  <cp:category/>
  <cp:version/>
  <cp:contentType/>
  <cp:contentStatus/>
</cp:coreProperties>
</file>