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345" windowHeight="120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<sst xmlns="http://schemas.openxmlformats.org/spreadsheetml/2006/main" count="1990" uniqueCount="699">
  <si>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</si>
  <si>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</si>
  <si>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</si>
  <si>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</si>
  <si>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</si>
  <si>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</si>
  <si>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</si>
  <si>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</si>
  <si>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</si>
  <si>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</si>
  <si>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</si>
  <si>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</si>
  <si>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</si>
  <si>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</si>
  <si>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</si>
  <si>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</si>
  <si>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</si>
  <si>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</si>
  <si>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</si>
  <si>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</si>
  <si>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</si>
  <si>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</si>
  <si>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</si>
  <si>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</si>
  <si>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</si>
  <si>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</si>
  <si>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</si>
  <si>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</si>
  <si>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</si>
  <si>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</si>
  <si>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</si>
  <si>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</si>
  <si>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</si>
  <si>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</si>
  <si>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</si>
  <si>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</si>
  <si>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</si>
  <si>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</si>
  <si>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</si>
  <si>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</si>
  <si>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</si>
  <si>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</si>
  <si>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</si>
  <si>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</si>
  <si>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</si>
  <si>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</si>
  <si>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</si>
  <si>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</si>
  <si>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</si>
  <si>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</si>
  <si>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</si>
  <si>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</si>
  <si>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</si>
  <si>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</si>
  <si>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</si>
  <si>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</si>
  <si>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</si>
  <si>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</si>
  <si>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</si>
  <si>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</si>
  <si>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</si>
  <si>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</si>
  <si>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</si>
  <si>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</si>
  <si>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</si>
  <si>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</si>
  <si>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</si>
  <si>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</si>
  <si>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</si>
  <si>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</si>
  <si>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</si>
  <si>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</si>
  <si>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</si>
  <si>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</si>
  <si>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</si>
  <si>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</si>
  <si>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</si>
  <si>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</si>
  <si>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</si>
  <si>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</si>
  <si>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</si>
  <si>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</si>
  <si>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</si>
  <si>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</si>
  <si>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</si>
  <si>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</si>
  <si>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</si>
  <si>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</si>
  <si>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</si>
  <si>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</si>
  <si>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</si>
  <si>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</si>
  <si>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</si>
  <si>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</si>
  <si>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</si>
  <si>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</si>
  <si>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</si>
  <si>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</si>
  <si>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</si>
  <si>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</si>
  <si>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</si>
  <si>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</si>
  <si>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</si>
  <si>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</si>
  <si>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</si>
  <si>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</si>
  <si>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</si>
  <si>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</si>
  <si>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</si>
  <si>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</si>
  <si>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</si>
  <si>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</si>
  <si>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</si>
  <si>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</si>
  <si>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</si>
  <si>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</si>
  <si>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</si>
  <si>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</si>
  <si>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</si>
  <si>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</si>
  <si>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</si>
  <si>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</si>
  <si>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</si>
  <si>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</si>
  <si>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</si>
  <si>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</si>
  <si>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</si>
  <si>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</si>
  <si>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</si>
  <si>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</si>
  <si>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</si>
  <si>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</si>
  <si>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</si>
  <si>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</si>
  <si>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</si>
  <si>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</si>
  <si>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</si>
  <si>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</si>
  <si>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</si>
  <si>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</si>
  <si>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</si>
  <si>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</si>
  <si>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</si>
  <si>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</si>
  <si>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</si>
  <si>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</si>
  <si>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</si>
  <si>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</si>
  <si>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</si>
  <si>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</si>
  <si>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</si>
  <si>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</si>
  <si>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</si>
  <si>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</si>
  <si>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</si>
  <si>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</si>
  <si>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</si>
  <si>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</si>
  <si>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</si>
  <si>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</si>
  <si>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</si>
  <si>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</si>
  <si>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</si>
  <si>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</si>
  <si>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</si>
  <si>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</si>
  <si>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</si>
  <si>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</si>
  <si>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</si>
  <si>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</si>
  <si>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</si>
  <si>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</si>
  <si>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</si>
  <si>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</si>
  <si>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</si>
  <si>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</si>
  <si>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</si>
  <si>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</si>
  <si>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</si>
  <si>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</si>
  <si>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</si>
  <si>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</si>
  <si>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</si>
  <si>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</si>
  <si>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</si>
  <si>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</si>
  <si>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</si>
  <si>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</si>
  <si>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</si>
  <si>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</si>
  <si>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</si>
  <si>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</si>
  <si>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</si>
  <si>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</si>
  <si>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</si>
  <si>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</si>
  <si>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</si>
  <si>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</si>
  <si>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</si>
  <si>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</si>
  <si>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</si>
  <si>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</si>
  <si>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</si>
  <si>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</si>
  <si>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</si>
  <si>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</si>
  <si>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</si>
  <si>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</si>
  <si>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</si>
  <si>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</si>
  <si>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</si>
  <si>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</si>
  <si>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</si>
  <si>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</si>
  <si>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</si>
  <si>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</si>
  <si>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</si>
  <si>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</si>
  <si>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</si>
  <si>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</si>
  <si>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</si>
  <si>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</si>
  <si>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</si>
  <si>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</si>
  <si>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</si>
  <si>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</si>
  <si>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</si>
  <si>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</si>
  <si>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</si>
  <si>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</si>
  <si>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</si>
  <si>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</si>
  <si>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</si>
  <si>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</si>
  <si>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</si>
  <si>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</si>
  <si>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</si>
  <si>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</si>
  <si>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</si>
  <si>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</si>
  <si>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</si>
  <si>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</si>
  <si>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</si>
  <si>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</si>
  <si>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</si>
  <si>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</si>
  <si>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</si>
  <si>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</si>
  <si>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</si>
  <si>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</si>
  <si>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</si>
  <si>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</si>
  <si>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</si>
  <si>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</si>
  <si>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</si>
  <si>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</si>
  <si>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</si>
  <si>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</si>
  <si>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</si>
  <si>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</si>
  <si>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</si>
  <si>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</si>
  <si>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</si>
  <si>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</si>
  <si>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</si>
  <si>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</si>
  <si>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</si>
  <si>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</si>
  <si>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</si>
  <si>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</si>
  <si>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</si>
  <si>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</si>
  <si>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</si>
  <si>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</si>
  <si>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</si>
  <si>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</si>
  <si>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</si>
  <si>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</si>
  <si>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</si>
  <si>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</si>
  <si>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</si>
  <si>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</si>
  <si>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</si>
  <si>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</si>
  <si>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</si>
  <si>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</si>
  <si>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</si>
  <si>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</si>
  <si>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</si>
  <si>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</si>
  <si>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</si>
  <si>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</si>
  <si>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</si>
  <si>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</si>
  <si>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</si>
  <si>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</si>
  <si>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</si>
  <si>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</si>
  <si>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</si>
  <si>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</si>
  <si>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</si>
  <si>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</si>
  <si>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</si>
  <si>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</si>
  <si>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</si>
  <si>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</si>
  <si>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</si>
  <si>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</si>
  <si>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</si>
  <si>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</si>
  <si>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</si>
  <si>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</si>
  <si>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</si>
  <si>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</si>
  <si>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</si>
  <si>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</si>
  <si>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</si>
  <si>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</si>
  <si>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</si>
  <si>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</si>
  <si>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</si>
  <si>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</si>
  <si>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</si>
  <si>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</si>
  <si>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</si>
  <si>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</si>
  <si>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</si>
  <si>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</si>
  <si>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</si>
  <si>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</si>
  <si>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</si>
  <si>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</si>
  <si>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</si>
  <si>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</si>
  <si>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</si>
  <si>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</si>
  <si>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</si>
  <si>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</si>
  <si>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</si>
  <si>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</si>
  <si>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</si>
  <si>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</si>
  <si>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</si>
  <si>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</si>
  <si>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</si>
  <si>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</si>
  <si>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</si>
  <si>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</si>
  <si>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</si>
  <si>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</si>
  <si>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</si>
  <si>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</si>
  <si>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</si>
  <si>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</si>
  <si>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</si>
  <si>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</si>
  <si>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</si>
  <si>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</si>
  <si>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</si>
  <si>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</si>
  <si>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</si>
  <si>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</si>
  <si>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</si>
  <si>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</si>
  <si>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</si>
  <si>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</si>
  <si>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</si>
  <si>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</si>
  <si>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</si>
  <si>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</si>
  <si>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</si>
  <si>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</si>
  <si>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</si>
  <si>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</si>
  <si>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</si>
  <si>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</si>
  <si>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</si>
  <si>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</si>
  <si>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</si>
  <si>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</si>
  <si>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</si>
  <si>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</si>
  <si>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</si>
  <si>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</si>
  <si>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</si>
  <si>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</si>
  <si>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</si>
  <si>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</si>
  <si>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</si>
  <si>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</si>
  <si>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</si>
  <si>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</si>
  <si>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</si>
  <si>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</si>
  <si>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</si>
  <si>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</si>
  <si>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</si>
  <si>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</si>
  <si>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</si>
  <si>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</si>
  <si>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</si>
  <si>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</si>
  <si>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</si>
  <si>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</si>
  <si>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</si>
  <si>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</si>
  <si>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</si>
  <si>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</si>
  <si>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</si>
  <si>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</si>
  <si>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</si>
  <si>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</si>
  <si>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</si>
  <si>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</si>
  <si>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</si>
  <si>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</si>
  <si>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</si>
  <si>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</si>
  <si>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</si>
  <si>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</si>
  <si>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</si>
  <si>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</si>
  <si>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</si>
  <si>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</si>
  <si>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</si>
  <si>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</si>
  <si>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</si>
  <si>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</si>
  <si>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</si>
  <si>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</si>
  <si>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</si>
  <si>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</si>
  <si>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</si>
  <si>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</si>
  <si>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</si>
  <si>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</si>
  <si>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</si>
  <si>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</si>
  <si>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</si>
  <si>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</si>
  <si>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</si>
  <si>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</si>
  <si>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</si>
  <si>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</si>
  <si>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</si>
  <si>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</si>
  <si>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</si>
  <si>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</si>
  <si>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</si>
  <si>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</si>
  <si>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</si>
  <si>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</si>
  <si>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</si>
  <si>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</si>
  <si>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</si>
  <si>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</si>
  <si>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</si>
  <si>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</si>
  <si>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</si>
  <si>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</si>
  <si>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</si>
  <si>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</si>
  <si>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</si>
  <si>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</si>
  <si>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</si>
  <si>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</si>
  <si>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</si>
  <si>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</si>
  <si>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</si>
  <si>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</si>
  <si>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</si>
  <si>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</si>
  <si>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</si>
  <si>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</si>
  <si>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</si>
  <si>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</si>
  <si>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</si>
  <si>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</si>
  <si>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</si>
  <si>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</si>
  <si>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</si>
  <si>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</si>
  <si>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</si>
  <si>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</si>
  <si>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</si>
  <si>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</si>
  <si>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</si>
  <si>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</si>
  <si>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</si>
  <si>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</si>
  <si>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</si>
  <si>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</si>
  <si>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</si>
  <si>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</si>
  <si>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</si>
  <si>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</si>
  <si>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</si>
  <si>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</si>
  <si>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</si>
  <si>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</si>
  <si>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</si>
  <si>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</si>
  <si>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</si>
  <si>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</si>
  <si>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</si>
  <si>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</si>
  <si>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</si>
  <si>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</si>
  <si>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</si>
  <si>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</si>
  <si>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</si>
  <si>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</si>
  <si>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</si>
  <si>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</si>
  <si>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</si>
  <si>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</si>
  <si>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</si>
  <si>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</si>
  <si>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</si>
  <si>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</si>
  <si>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</si>
  <si>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</si>
  <si>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</si>
  <si>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</si>
  <si>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</si>
  <si>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</si>
  <si>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</si>
  <si>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</si>
  <si>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</si>
  <si>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</si>
  <si>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</si>
  <si>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</si>
  <si>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</si>
  <si>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</si>
  <si>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</si>
  <si>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</si>
  <si>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</si>
  <si>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</si>
  <si>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</si>
  <si>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</si>
  <si>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</si>
  <si>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</si>
  <si>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</si>
  <si>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</si>
  <si>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</si>
  <si>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</si>
  <si>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</si>
  <si>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</si>
  <si>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</si>
  <si>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</si>
  <si>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</si>
  <si>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</si>
  <si>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</si>
  <si>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</si>
  <si>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</si>
  <si>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</si>
  <si>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</si>
  <si>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</si>
  <si>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</si>
  <si>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</si>
  <si>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</si>
  <si>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</si>
  <si>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</si>
  <si>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</si>
  <si>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</si>
  <si>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</si>
  <si>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</si>
  <si>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</si>
  <si>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</si>
  <si>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</si>
  <si>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</si>
  <si>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</si>
  <si>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</si>
  <si>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</si>
  <si>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</si>
  <si>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</si>
  <si>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</si>
  <si>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</si>
  <si>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</si>
  <si>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</si>
  <si>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</si>
  <si>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</si>
  <si>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</si>
  <si>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</si>
  <si>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</si>
  <si>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</si>
  <si>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</si>
  <si>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</si>
  <si>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</si>
  <si>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</si>
  <si>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</si>
  <si>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</si>
  <si>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</si>
  <si>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</si>
  <si>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</si>
  <si>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</si>
  <si>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</si>
  <si>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</si>
  <si>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</si>
  <si>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</si>
  <si>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</si>
  <si>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</si>
  <si>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</si>
  <si>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</si>
  <si>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</si>
  <si>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</si>
  <si>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</si>
  <si>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</si>
  <si>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</si>
  <si>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</si>
  <si>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</si>
  <si>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</si>
  <si>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</si>
  <si>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</si>
  <si>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</si>
  <si>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</si>
  <si>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</si>
  <si>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</si>
  <si>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</si>
  <si>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</si>
  <si>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</si>
  <si>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</si>
  <si>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</si>
  <si>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</si>
  <si>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</si>
  <si>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</si>
  <si>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</si>
  <si>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</si>
  <si>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</si>
  <si>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</si>
  <si>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</si>
  <si>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</si>
  <si>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</si>
  <si>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</si>
  <si>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</si>
  <si>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</si>
  <si>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</si>
  <si>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</si>
  <si>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</si>
  <si>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</si>
  <si>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</si>
  <si>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</si>
  <si>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</si>
  <si>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</si>
  <si>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</si>
  <si>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</si>
  <si>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</si>
  <si>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</si>
  <si>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</si>
  <si>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</si>
  <si>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</si>
  <si>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</si>
  <si>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</si>
  <si>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</si>
  <si>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</si>
  <si>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</si>
  <si>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</si>
  <si>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</si>
  <si>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</si>
  <si>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</si>
  <si>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</si>
  <si>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</si>
  <si>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</si>
  <si>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</si>
  <si>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</si>
  <si>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</si>
  <si>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</si>
  <si>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</si>
  <si>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</si>
  <si>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</si>
  <si>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</si>
  <si>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</si>
  <si>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</si>
  <si>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</si>
  <si>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</si>
  <si>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</si>
  <si>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</si>
  <si>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</si>
  <si>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</si>
  <si>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</si>
  <si>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</si>
  <si>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</si>
  <si>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заедно</t>
  </si>
  <si>
    <t>главен счетоводител</t>
  </si>
  <si>
    <t>Милчо Близнаков</t>
  </si>
  <si>
    <t>М САТ Кейбъл ЕАД</t>
  </si>
  <si>
    <t>103131746</t>
  </si>
  <si>
    <t>Драгомир Дойчев, Милчо Близнаков</t>
  </si>
  <si>
    <t>гр.София, бул.Брюксел №1</t>
  </si>
  <si>
    <t>гр.Варна - 9002, ул.Ген.Паренсов №3, ет.2</t>
  </si>
  <si>
    <t>052 604 514</t>
  </si>
  <si>
    <t>052 370 462, 052 604 513</t>
  </si>
  <si>
    <t>acc@m-sat.bg</t>
  </si>
  <si>
    <t>msatcable.com</t>
  </si>
  <si>
    <t>Инвестор.бг АД</t>
  </si>
  <si>
    <t>Славена Александрова Първанова</t>
  </si>
  <si>
    <t>Драгомир Дойчев</t>
  </si>
  <si>
    <t>1. М САТ Преслав ООД</t>
  </si>
  <si>
    <t>1. Инвестор.БГ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</si>
</sst>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3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2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63" applyNumberFormat="1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44104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44130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Славена Александрова Първанова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44130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690</v>
      </c>
    </row>
    <row r="23" spans="1:2" ht="15.75">
      <c r="A23" s="10" t="s">
        <v>7</v>
      </c>
      <c r="B23" s="467" t="s">
        <v>692</v>
      </c>
    </row>
    <row r="24" spans="1:2" ht="15.75">
      <c r="A24" s="10" t="s">
        <v>612</v>
      </c>
      <c r="B24" s="468" t="s">
        <v>693</v>
      </c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8" t="s">
        <v>695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Normal="85" zoomScaleSheetLayoutView="100" zoomScalePageLayoutView="0" workbookViewId="0" topLeftCell="A67">
      <selection activeCell="G76" sqref="G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4550</v>
      </c>
      <c r="H12" s="138">
        <v>4550</v>
      </c>
    </row>
    <row r="13" spans="1:8" ht="15.75">
      <c r="A13" s="76" t="s">
        <v>27</v>
      </c>
      <c r="B13" s="78" t="s">
        <v>28</v>
      </c>
      <c r="C13" s="138">
        <f>23+489</f>
        <v>512</v>
      </c>
      <c r="D13" s="138">
        <v>619</v>
      </c>
      <c r="E13" s="76" t="s">
        <v>553</v>
      </c>
      <c r="F13" s="80" t="s">
        <v>29</v>
      </c>
      <c r="G13" s="138">
        <f>'4-Отчет за собствения капитал'!C34</f>
        <v>4550</v>
      </c>
      <c r="H13" s="137">
        <v>4550</v>
      </c>
    </row>
    <row r="14" spans="1:8" ht="15.75">
      <c r="A14" s="76" t="s">
        <v>30</v>
      </c>
      <c r="B14" s="78" t="s">
        <v>31</v>
      </c>
      <c r="C14" s="138">
        <v>469</v>
      </c>
      <c r="D14" s="138">
        <v>541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8650</v>
      </c>
      <c r="D15" s="138">
        <v>8971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66</v>
      </c>
      <c r="D16" s="138">
        <v>104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22</v>
      </c>
      <c r="D17" s="138">
        <v>29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931</v>
      </c>
      <c r="D18" s="138">
        <v>945</v>
      </c>
      <c r="E18" s="272" t="s">
        <v>47</v>
      </c>
      <c r="F18" s="271" t="s">
        <v>48</v>
      </c>
      <c r="G18" s="388">
        <f>G12+G15+G16+G17</f>
        <v>4550</v>
      </c>
      <c r="H18" s="389">
        <f>H12+H15+H16+H17</f>
        <v>4550</v>
      </c>
    </row>
    <row r="19" spans="1:8" ht="15.75">
      <c r="A19" s="76" t="s">
        <v>49</v>
      </c>
      <c r="B19" s="78" t="s">
        <v>50</v>
      </c>
      <c r="C19" s="138">
        <v>4</v>
      </c>
      <c r="D19" s="138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10654</v>
      </c>
      <c r="D20" s="377">
        <f>SUM(D12:D19)</f>
        <v>11214</v>
      </c>
      <c r="E20" s="76" t="s">
        <v>54</v>
      </c>
      <c r="F20" s="80" t="s">
        <v>55</v>
      </c>
      <c r="G20" s="138"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24</v>
      </c>
      <c r="D24" s="137">
        <v>30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27</v>
      </c>
      <c r="D25" s="137">
        <v>4</v>
      </c>
      <c r="E25" s="76" t="s">
        <v>73</v>
      </c>
      <c r="F25" s="80" t="s">
        <v>74</v>
      </c>
      <c r="G25" s="138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51</v>
      </c>
      <c r="D28" s="377">
        <f>SUM(D24:D27)</f>
        <v>34</v>
      </c>
      <c r="E28" s="143" t="s">
        <v>84</v>
      </c>
      <c r="F28" s="80" t="s">
        <v>85</v>
      </c>
      <c r="G28" s="374">
        <f>SUM(G29:G31)</f>
        <v>2387</v>
      </c>
      <c r="H28" s="375">
        <f>SUM(H29:H31)</f>
        <v>2375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2387</v>
      </c>
      <c r="H29" s="138">
        <v>2375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93</v>
      </c>
      <c r="H32" s="138">
        <v>12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f>-'2-Отчет за доходите'!G44</f>
        <v>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2480</v>
      </c>
      <c r="H34" s="377">
        <f>H28+H32+H33</f>
        <v>2387</v>
      </c>
    </row>
    <row r="35" spans="1:8" ht="15.75">
      <c r="A35" s="76" t="s">
        <v>106</v>
      </c>
      <c r="B35" s="81" t="s">
        <v>107</v>
      </c>
      <c r="C35" s="374">
        <f>SUM(C36:C39)</f>
        <v>30488</v>
      </c>
      <c r="D35" s="375">
        <f>SUM(D36:D39)</f>
        <v>30488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7196</v>
      </c>
      <c r="H37" s="379">
        <f>H26+H18+H34</f>
        <v>7103</v>
      </c>
    </row>
    <row r="38" spans="1:13" ht="15.75">
      <c r="A38" s="76" t="s">
        <v>113</v>
      </c>
      <c r="B38" s="78" t="s">
        <v>114</v>
      </c>
      <c r="C38" s="138">
        <v>2</v>
      </c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4932</v>
      </c>
      <c r="H44" s="137">
        <v>3766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9405+20</f>
        <v>9425</v>
      </c>
      <c r="H45" s="138">
        <v>10476</v>
      </c>
    </row>
    <row r="46" spans="1:13" ht="15.75">
      <c r="A46" s="264" t="s">
        <v>137</v>
      </c>
      <c r="B46" s="83" t="s">
        <v>138</v>
      </c>
      <c r="C46" s="376">
        <f>C35+C40+C45</f>
        <v>30488</v>
      </c>
      <c r="D46" s="377">
        <f>D35+D40+D45</f>
        <v>30488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5032</v>
      </c>
      <c r="D48" s="137">
        <v>4133</v>
      </c>
      <c r="E48" s="142" t="s">
        <v>146</v>
      </c>
      <c r="F48" s="80" t="s">
        <v>147</v>
      </c>
      <c r="G48" s="138">
        <v>14000</v>
      </c>
      <c r="H48" s="138">
        <v>16000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980</v>
      </c>
      <c r="H49" s="137">
        <v>1290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29337</v>
      </c>
      <c r="H50" s="375">
        <f>SUM(H44:H49)</f>
        <v>31532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5032</v>
      </c>
      <c r="D52" s="377">
        <f>SUM(D48:D51)</f>
        <v>4133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265</v>
      </c>
      <c r="D54" s="270">
        <v>316</v>
      </c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>
        <v>27</v>
      </c>
      <c r="D55" s="270">
        <v>27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46517</v>
      </c>
      <c r="D56" s="381">
        <f>D20+D21+D22+D28+D33+D46+D52+D54+D55</f>
        <v>46212</v>
      </c>
      <c r="E56" s="87" t="s">
        <v>557</v>
      </c>
      <c r="F56" s="86" t="s">
        <v>172</v>
      </c>
      <c r="G56" s="378">
        <f>G50+G52+G53+G54+G55</f>
        <v>29337</v>
      </c>
      <c r="H56" s="379">
        <f>H50+H52+H53+H54+H55</f>
        <v>31532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373</v>
      </c>
      <c r="D59" s="137">
        <v>295</v>
      </c>
      <c r="E59" s="142" t="s">
        <v>180</v>
      </c>
      <c r="F59" s="277" t="s">
        <v>181</v>
      </c>
      <c r="G59" s="138">
        <v>1350</v>
      </c>
      <c r="H59" s="138">
        <v>1324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7216</v>
      </c>
      <c r="H60" s="138">
        <v>4185</v>
      </c>
      <c r="M60" s="85"/>
    </row>
    <row r="61" spans="1:8" ht="15.75">
      <c r="A61" s="76" t="s">
        <v>182</v>
      </c>
      <c r="B61" s="78" t="s">
        <v>183</v>
      </c>
      <c r="C61" s="138">
        <v>5</v>
      </c>
      <c r="D61" s="137">
        <v>6</v>
      </c>
      <c r="E61" s="141" t="s">
        <v>188</v>
      </c>
      <c r="F61" s="80" t="s">
        <v>189</v>
      </c>
      <c r="G61" s="374">
        <f>SUM(G62:G68)</f>
        <v>11161</v>
      </c>
      <c r="H61" s="375">
        <f>SUM(H62:H68)</f>
        <v>11308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2529</v>
      </c>
      <c r="H62" s="138">
        <v>2873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7767</v>
      </c>
      <c r="H63" s="138">
        <v>7509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371</v>
      </c>
      <c r="H64" s="138">
        <v>337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378</v>
      </c>
      <c r="D65" s="377">
        <f>SUM(D59:D64)</f>
        <v>301</v>
      </c>
      <c r="E65" s="76" t="s">
        <v>201</v>
      </c>
      <c r="F65" s="80" t="s">
        <v>202</v>
      </c>
      <c r="G65" s="138">
        <v>20</v>
      </c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216</v>
      </c>
      <c r="H66" s="138">
        <v>271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85</v>
      </c>
      <c r="H67" s="138">
        <v>117</v>
      </c>
    </row>
    <row r="68" spans="1:8" ht="15.75">
      <c r="A68" s="76" t="s">
        <v>206</v>
      </c>
      <c r="B68" s="78" t="s">
        <v>207</v>
      </c>
      <c r="C68" s="138">
        <v>9369</v>
      </c>
      <c r="D68" s="138">
        <v>8989</v>
      </c>
      <c r="E68" s="76" t="s">
        <v>212</v>
      </c>
      <c r="F68" s="80" t="s">
        <v>213</v>
      </c>
      <c r="G68" s="138">
        <v>173</v>
      </c>
      <c r="H68" s="138">
        <v>201</v>
      </c>
    </row>
    <row r="69" spans="1:8" ht="15.75">
      <c r="A69" s="76" t="s">
        <v>210</v>
      </c>
      <c r="B69" s="78" t="s">
        <v>211</v>
      </c>
      <c r="C69" s="138">
        <v>336</v>
      </c>
      <c r="D69" s="138">
        <v>289</v>
      </c>
      <c r="E69" s="142" t="s">
        <v>79</v>
      </c>
      <c r="F69" s="80" t="s">
        <v>216</v>
      </c>
      <c r="G69" s="138">
        <v>429</v>
      </c>
      <c r="H69" s="138">
        <v>428</v>
      </c>
    </row>
    <row r="70" spans="1:8" ht="15.75">
      <c r="A70" s="76" t="s">
        <v>214</v>
      </c>
      <c r="B70" s="78" t="s">
        <v>215</v>
      </c>
      <c r="C70" s="138">
        <v>14</v>
      </c>
      <c r="D70" s="138">
        <v>10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20156</v>
      </c>
      <c r="H71" s="377">
        <f>H59+H60+H61+H69+H70</f>
        <v>17245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/>
      <c r="E75" s="276" t="s">
        <v>160</v>
      </c>
      <c r="F75" s="82" t="s">
        <v>233</v>
      </c>
      <c r="G75" s="269">
        <v>1099</v>
      </c>
      <c r="H75" s="270">
        <v>1099</v>
      </c>
    </row>
    <row r="76" spans="1:8" ht="15.75">
      <c r="A76" s="273" t="s">
        <v>77</v>
      </c>
      <c r="B76" s="83" t="s">
        <v>232</v>
      </c>
      <c r="C76" s="376">
        <f>SUM(C68:C75)</f>
        <v>9722</v>
      </c>
      <c r="D76" s="377">
        <f>SUM(D68:D75)</f>
        <v>9288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35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21255</v>
      </c>
      <c r="H79" s="379">
        <f>H71+H73+H75+H77</f>
        <v>18344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35</v>
      </c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35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201</v>
      </c>
      <c r="D88" s="137">
        <v>142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581</v>
      </c>
      <c r="D89" s="138">
        <v>748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782</v>
      </c>
      <c r="D92" s="377">
        <f>SUM(D88:D91)</f>
        <v>890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354</v>
      </c>
      <c r="D93" s="270">
        <v>288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11271</v>
      </c>
      <c r="D94" s="381">
        <f>D65+D76+D85+D92+D93</f>
        <v>10767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57788</v>
      </c>
      <c r="D95" s="383">
        <f>D94+D56</f>
        <v>56979</v>
      </c>
      <c r="E95" s="169" t="s">
        <v>635</v>
      </c>
      <c r="F95" s="280" t="s">
        <v>268</v>
      </c>
      <c r="G95" s="382">
        <f>G37+G40+G56+G79</f>
        <v>57788</v>
      </c>
      <c r="H95" s="383">
        <f>H37+H40+H56+H79</f>
        <v>56979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3">
        <f>pdeReportingDate</f>
        <v>44130</v>
      </c>
      <c r="C98" s="483"/>
      <c r="D98" s="483"/>
      <c r="E98" s="483"/>
      <c r="F98" s="483"/>
      <c r="G98" s="483"/>
      <c r="H98" s="48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4" t="str">
        <f>authorName</f>
        <v>Славена Александрова Първанова</v>
      </c>
      <c r="C100" s="484"/>
      <c r="D100" s="484"/>
      <c r="E100" s="484"/>
      <c r="F100" s="484"/>
      <c r="G100" s="484"/>
      <c r="H100" s="48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2" t="s">
        <v>696</v>
      </c>
      <c r="C103" s="482"/>
      <c r="D103" s="482"/>
      <c r="E103" s="482"/>
      <c r="M103" s="85"/>
    </row>
    <row r="104" spans="1:5" ht="21.75" customHeight="1">
      <c r="A104" s="474"/>
      <c r="B104" s="482" t="s">
        <v>684</v>
      </c>
      <c r="C104" s="482"/>
      <c r="D104" s="482"/>
      <c r="E104" s="482"/>
    </row>
    <row r="105" spans="1:13" ht="21.75" customHeight="1">
      <c r="A105" s="474"/>
      <c r="B105" s="481">
        <f>C95-G95</f>
        <v>0</v>
      </c>
      <c r="C105" s="482"/>
      <c r="D105" s="482"/>
      <c r="E105" s="482"/>
      <c r="M105" s="85"/>
    </row>
    <row r="106" spans="1:5" ht="21.75" customHeight="1">
      <c r="A106" s="474"/>
      <c r="B106" s="481">
        <f>D95-H95</f>
        <v>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8">
      <selection activeCell="G36" sqref="G3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474</v>
      </c>
      <c r="D12" s="256">
        <v>385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f>3080+69</f>
        <v>3149</v>
      </c>
      <c r="D13" s="256">
        <f>3073+20+69</f>
        <v>3162</v>
      </c>
      <c r="E13" s="135" t="s">
        <v>281</v>
      </c>
      <c r="F13" s="180" t="s">
        <v>282</v>
      </c>
      <c r="G13" s="256"/>
      <c r="H13" s="257">
        <v>60</v>
      </c>
    </row>
    <row r="14" spans="1:8" ht="15.75">
      <c r="A14" s="135" t="s">
        <v>283</v>
      </c>
      <c r="B14" s="131" t="s">
        <v>284</v>
      </c>
      <c r="C14" s="256">
        <v>746</v>
      </c>
      <c r="D14" s="256">
        <v>628</v>
      </c>
      <c r="E14" s="185" t="s">
        <v>285</v>
      </c>
      <c r="F14" s="180" t="s">
        <v>286</v>
      </c>
      <c r="G14" s="256">
        <v>7858</v>
      </c>
      <c r="H14" s="256">
        <v>8193</v>
      </c>
    </row>
    <row r="15" spans="1:8" ht="15.75">
      <c r="A15" s="135" t="s">
        <v>287</v>
      </c>
      <c r="B15" s="131" t="s">
        <v>288</v>
      </c>
      <c r="C15" s="256">
        <v>2086</v>
      </c>
      <c r="D15" s="256">
        <v>2132</v>
      </c>
      <c r="E15" s="185" t="s">
        <v>79</v>
      </c>
      <c r="F15" s="180" t="s">
        <v>289</v>
      </c>
      <c r="G15" s="256">
        <v>253</v>
      </c>
      <c r="H15" s="256">
        <f>271+1</f>
        <v>272</v>
      </c>
    </row>
    <row r="16" spans="1:8" ht="15.75">
      <c r="A16" s="135" t="s">
        <v>290</v>
      </c>
      <c r="B16" s="131" t="s">
        <v>291</v>
      </c>
      <c r="C16" s="256">
        <v>374</v>
      </c>
      <c r="D16" s="256">
        <v>382</v>
      </c>
      <c r="E16" s="176" t="s">
        <v>52</v>
      </c>
      <c r="F16" s="204" t="s">
        <v>292</v>
      </c>
      <c r="G16" s="407">
        <f>SUM(G12:G15)</f>
        <v>8111</v>
      </c>
      <c r="H16" s="408">
        <f>SUM(H12:H15)</f>
        <v>8525</v>
      </c>
    </row>
    <row r="17" spans="1:8" ht="31.5">
      <c r="A17" s="135" t="s">
        <v>293</v>
      </c>
      <c r="B17" s="131" t="s">
        <v>294</v>
      </c>
      <c r="C17" s="256">
        <v>60</v>
      </c>
      <c r="D17" s="256">
        <v>138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76-16</f>
        <v>60</v>
      </c>
      <c r="D19" s="256">
        <f>37-75</f>
        <v>-38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f>49-16</f>
        <v>33</v>
      </c>
      <c r="D20" s="256">
        <f>10-75</f>
        <v>-65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6949</v>
      </c>
      <c r="D22" s="408">
        <f>SUM(D12:D18)+D19</f>
        <v>6789</v>
      </c>
      <c r="E22" s="135" t="s">
        <v>309</v>
      </c>
      <c r="F22" s="177" t="s">
        <v>310</v>
      </c>
      <c r="G22" s="256">
        <v>590</v>
      </c>
      <c r="H22" s="256">
        <v>604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>
        <v>8869</v>
      </c>
    </row>
    <row r="25" spans="1:8" ht="31.5">
      <c r="A25" s="135" t="s">
        <v>316</v>
      </c>
      <c r="B25" s="177" t="s">
        <v>317</v>
      </c>
      <c r="C25" s="256">
        <v>1654</v>
      </c>
      <c r="D25" s="256">
        <v>1874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>
        <v>4</v>
      </c>
    </row>
    <row r="27" spans="1:8" ht="31.5">
      <c r="A27" s="135" t="s">
        <v>324</v>
      </c>
      <c r="B27" s="177" t="s">
        <v>325</v>
      </c>
      <c r="C27" s="256">
        <v>4</v>
      </c>
      <c r="D27" s="256">
        <v>9</v>
      </c>
      <c r="E27" s="176" t="s">
        <v>104</v>
      </c>
      <c r="F27" s="178" t="s">
        <v>326</v>
      </c>
      <c r="G27" s="407">
        <f>SUM(G22:G26)</f>
        <v>590</v>
      </c>
      <c r="H27" s="408">
        <f>SUM(H22:H26)</f>
        <v>9477</v>
      </c>
    </row>
    <row r="28" spans="1:8" ht="15.75">
      <c r="A28" s="135" t="s">
        <v>79</v>
      </c>
      <c r="B28" s="177" t="s">
        <v>327</v>
      </c>
      <c r="C28" s="256">
        <v>23</v>
      </c>
      <c r="D28" s="256">
        <v>49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1681</v>
      </c>
      <c r="D29" s="408">
        <f>SUM(D25:D28)</f>
        <v>1932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8630</v>
      </c>
      <c r="D31" s="414">
        <f>D29+D22</f>
        <v>8721</v>
      </c>
      <c r="E31" s="191" t="s">
        <v>548</v>
      </c>
      <c r="F31" s="206" t="s">
        <v>331</v>
      </c>
      <c r="G31" s="193">
        <f>G16+G18+G27</f>
        <v>8701</v>
      </c>
      <c r="H31" s="194">
        <f>H16+H18+H27</f>
        <v>18002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71</v>
      </c>
      <c r="D33" s="184">
        <f>IF((H31-D31)&gt;0,H31-D31,0)</f>
        <v>9281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22</v>
      </c>
      <c r="H35" s="257">
        <v>15</v>
      </c>
    </row>
    <row r="36" spans="1:8" ht="16.5" thickBot="1">
      <c r="A36" s="198" t="s">
        <v>344</v>
      </c>
      <c r="B36" s="196" t="s">
        <v>345</v>
      </c>
      <c r="C36" s="415">
        <f>C31-C34+C35</f>
        <v>8630</v>
      </c>
      <c r="D36" s="416">
        <f>D31-D34+D35</f>
        <v>8721</v>
      </c>
      <c r="E36" s="202" t="s">
        <v>346</v>
      </c>
      <c r="F36" s="196" t="s">
        <v>347</v>
      </c>
      <c r="G36" s="207">
        <f>G35-G34+G31</f>
        <v>8723</v>
      </c>
      <c r="H36" s="208">
        <f>H35-H34+H31</f>
        <v>18017</v>
      </c>
    </row>
    <row r="37" spans="1:8" ht="15.75">
      <c r="A37" s="201" t="s">
        <v>348</v>
      </c>
      <c r="B37" s="171" t="s">
        <v>349</v>
      </c>
      <c r="C37" s="413">
        <f>IF((G36-C36)&gt;0,G36-C36,0)</f>
        <v>93</v>
      </c>
      <c r="D37" s="414">
        <f>IF((H36-D36)&gt;0,H36-D36,0)</f>
        <v>9296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93</v>
      </c>
      <c r="D42" s="184">
        <f>+IF((H36-D36-D38)&gt;0,H36-D36-D38,0)</f>
        <v>9296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93</v>
      </c>
      <c r="D44" s="208">
        <f>IF(H42=0,IF(D42-D43&gt;0,D42-D43+H43,0),IF(H42-H43&lt;0,H43-H42+D42,0))</f>
        <v>9296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8723</v>
      </c>
      <c r="D45" s="410">
        <f>D36+D38+D42</f>
        <v>18017</v>
      </c>
      <c r="E45" s="210" t="s">
        <v>373</v>
      </c>
      <c r="F45" s="212" t="s">
        <v>374</v>
      </c>
      <c r="G45" s="409">
        <f>G42+G36</f>
        <v>8723</v>
      </c>
      <c r="H45" s="410">
        <f>H42+H36</f>
        <v>18017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3">
        <f>pdeReportingDate</f>
        <v>44130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4" t="str">
        <f>authorName</f>
        <v>Славена Александрова Първанова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2" t="s">
        <v>696</v>
      </c>
      <c r="C55" s="482"/>
      <c r="D55" s="482"/>
      <c r="E55" s="482"/>
      <c r="F55" s="353"/>
      <c r="G55" s="41"/>
      <c r="H55" s="39"/>
    </row>
    <row r="56" spans="1:8" ht="15.75" customHeight="1">
      <c r="A56" s="474"/>
      <c r="B56" s="482" t="s">
        <v>684</v>
      </c>
      <c r="C56" s="482"/>
      <c r="D56" s="482"/>
      <c r="E56" s="482"/>
      <c r="F56" s="353"/>
      <c r="G56" s="41"/>
      <c r="H56" s="39"/>
    </row>
    <row r="57" spans="1:8" ht="15.75" customHeight="1">
      <c r="A57" s="474"/>
      <c r="B57" s="481">
        <f>C45-G45</f>
        <v>0</v>
      </c>
      <c r="C57" s="482"/>
      <c r="D57" s="482"/>
      <c r="E57" s="482"/>
      <c r="F57" s="353"/>
      <c r="G57" s="41"/>
      <c r="H57" s="39"/>
    </row>
    <row r="58" spans="1:8" ht="15.75" customHeight="1">
      <c r="A58" s="474"/>
      <c r="B58" s="481">
        <f>D45-H45</f>
        <v>0</v>
      </c>
      <c r="C58" s="482"/>
      <c r="D58" s="482"/>
      <c r="E58" s="482"/>
      <c r="F58" s="353"/>
      <c r="G58" s="41"/>
      <c r="H58" s="39"/>
    </row>
    <row r="59" spans="1:8" ht="15.75">
      <c r="A59" s="474"/>
      <c r="B59" s="482"/>
      <c r="C59" s="482"/>
      <c r="D59" s="482"/>
      <c r="E59" s="482"/>
      <c r="F59" s="353"/>
      <c r="G59" s="41"/>
      <c r="H59" s="39"/>
    </row>
    <row r="60" spans="1:8" ht="15.75">
      <c r="A60" s="474"/>
      <c r="B60" s="482"/>
      <c r="C60" s="482"/>
      <c r="D60" s="482"/>
      <c r="E60" s="482"/>
      <c r="F60" s="353"/>
      <c r="G60" s="41"/>
      <c r="H60" s="39"/>
    </row>
    <row r="61" spans="1:8" ht="15.75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Normal="120" zoomScaleSheetLayoutView="10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10119</v>
      </c>
      <c r="D11" s="138">
        <v>11755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-4738</v>
      </c>
      <c r="D12" s="138">
        <v>-4782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-2383</v>
      </c>
      <c r="D14" s="138">
        <v>-2399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-1271</v>
      </c>
      <c r="D15" s="138">
        <v>-1383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</v>
      </c>
      <c r="D19" s="138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</v>
      </c>
      <c r="D20" s="138">
        <v>-30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1727</v>
      </c>
      <c r="D21" s="438">
        <f>SUM(D11:D20)</f>
        <v>3159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-140</v>
      </c>
      <c r="D23" s="138">
        <f>-238-5</f>
        <v>-243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-717</v>
      </c>
      <c r="D25" s="138">
        <v>-4733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>
        <v>42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-35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150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382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-892</v>
      </c>
      <c r="D33" s="438">
        <f>SUM(D23:D32)</f>
        <v>-4401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14101</v>
      </c>
      <c r="D37" s="138">
        <v>8736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-13747</v>
      </c>
      <c r="D38" s="138">
        <v>-6714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-418</v>
      </c>
      <c r="D39" s="138">
        <v>-249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-879</v>
      </c>
      <c r="D40" s="138">
        <v>-1134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-943</v>
      </c>
      <c r="D43" s="440">
        <f>SUM(D35:D42)</f>
        <v>639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-108</v>
      </c>
      <c r="D44" s="247">
        <f>D43+D33+D21</f>
        <v>-603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890</v>
      </c>
      <c r="D45" s="249">
        <v>1425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782</v>
      </c>
      <c r="D46" s="251">
        <f>D45+D44</f>
        <v>822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782</v>
      </c>
      <c r="D47" s="238">
        <v>822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3">
        <f>pdeReportingDate</f>
        <v>44130</v>
      </c>
      <c r="C54" s="483"/>
      <c r="D54" s="483"/>
      <c r="E54" s="483"/>
      <c r="F54" s="475"/>
      <c r="G54" s="475"/>
      <c r="H54" s="475"/>
      <c r="M54" s="85"/>
    </row>
    <row r="55" spans="1:13" s="39" customFormat="1" ht="15.7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3" t="s">
        <v>8</v>
      </c>
      <c r="B56" s="484" t="str">
        <f>authorName</f>
        <v>Славена Александрова Първанова</v>
      </c>
      <c r="C56" s="484"/>
      <c r="D56" s="484"/>
      <c r="E56" s="484"/>
      <c r="F56" s="67"/>
      <c r="G56" s="67"/>
      <c r="H56" s="67"/>
    </row>
    <row r="57" spans="1:8" s="39" customFormat="1" ht="15.7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4"/>
      <c r="B59" s="482" t="s">
        <v>696</v>
      </c>
      <c r="C59" s="482"/>
      <c r="D59" s="482"/>
      <c r="E59" s="482"/>
      <c r="F59" s="353"/>
      <c r="G59" s="41"/>
      <c r="H59" s="39"/>
    </row>
    <row r="60" spans="1:8" ht="15.75" customHeight="1">
      <c r="A60" s="474"/>
      <c r="B60" s="482" t="s">
        <v>684</v>
      </c>
      <c r="C60" s="482"/>
      <c r="D60" s="482"/>
      <c r="E60" s="482"/>
      <c r="F60" s="353"/>
      <c r="G60" s="41"/>
      <c r="H60" s="39"/>
    </row>
    <row r="61" spans="1:8" ht="15.75" customHeight="1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474"/>
      <c r="B62" s="481">
        <f>C46-'1-Баланс'!C92</f>
        <v>0</v>
      </c>
      <c r="C62" s="482"/>
      <c r="D62" s="482"/>
      <c r="E62" s="482"/>
      <c r="F62" s="353"/>
      <c r="G62" s="41"/>
      <c r="H62" s="39"/>
    </row>
    <row r="63" spans="1:8" ht="15.75">
      <c r="A63" s="474"/>
      <c r="B63" s="482"/>
      <c r="C63" s="482"/>
      <c r="D63" s="482"/>
      <c r="E63" s="482"/>
      <c r="F63" s="353"/>
      <c r="G63" s="41"/>
      <c r="H63" s="39"/>
    </row>
    <row r="64" spans="1:8" ht="15.75">
      <c r="A64" s="474"/>
      <c r="B64" s="482"/>
      <c r="C64" s="482"/>
      <c r="D64" s="482"/>
      <c r="E64" s="482"/>
      <c r="F64" s="353"/>
      <c r="G64" s="41"/>
      <c r="H64" s="39"/>
    </row>
    <row r="65" spans="1:8" ht="15.75">
      <c r="A65" s="474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6">
      <selection activeCell="C30" sqref="C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4"/>
      <c r="B9" s="497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2" t="s">
        <v>458</v>
      </c>
      <c r="J9" s="492" t="s">
        <v>459</v>
      </c>
      <c r="K9" s="489"/>
      <c r="L9" s="489"/>
      <c r="M9" s="315" t="s">
        <v>549</v>
      </c>
      <c r="N9" s="311"/>
    </row>
    <row r="10" spans="1:14" s="312" customFormat="1" ht="31.5">
      <c r="A10" s="495"/>
      <c r="B10" s="498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4550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v>16</v>
      </c>
      <c r="I13" s="363">
        <f>'1-Баланс'!H29+'1-Баланс'!H32</f>
        <v>2387</v>
      </c>
      <c r="J13" s="363">
        <f>'1-Баланс'!H30+'1-Баланс'!H33</f>
        <v>0</v>
      </c>
      <c r="K13" s="364"/>
      <c r="L13" s="363">
        <f>SUM(C13:K13)</f>
        <v>7103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4550</v>
      </c>
      <c r="D17" s="432">
        <f aca="true" t="shared" si="2" ref="D17:M17">D13+D14</f>
        <v>25</v>
      </c>
      <c r="E17" s="432">
        <f t="shared" si="2"/>
        <v>0</v>
      </c>
      <c r="F17" s="432">
        <f t="shared" si="2"/>
        <v>125</v>
      </c>
      <c r="G17" s="432">
        <f t="shared" si="2"/>
        <v>0</v>
      </c>
      <c r="H17" s="432">
        <f t="shared" si="2"/>
        <v>16</v>
      </c>
      <c r="I17" s="432">
        <f t="shared" si="2"/>
        <v>2387</v>
      </c>
      <c r="J17" s="432">
        <f t="shared" si="2"/>
        <v>0</v>
      </c>
      <c r="K17" s="432">
        <f t="shared" si="2"/>
        <v>0</v>
      </c>
      <c r="L17" s="363">
        <f t="shared" si="1"/>
        <v>7103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93</v>
      </c>
      <c r="J18" s="363">
        <f>+'1-Баланс'!G33</f>
        <v>0</v>
      </c>
      <c r="K18" s="364"/>
      <c r="L18" s="363">
        <f t="shared" si="1"/>
        <v>93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4550</v>
      </c>
      <c r="D31" s="432">
        <f aca="true" t="shared" si="6" ref="D31:M31">D19+D22+D23+D26+D30+D29+D17+D18</f>
        <v>25</v>
      </c>
      <c r="E31" s="432">
        <f t="shared" si="6"/>
        <v>0</v>
      </c>
      <c r="F31" s="432">
        <f t="shared" si="6"/>
        <v>125</v>
      </c>
      <c r="G31" s="432">
        <f t="shared" si="6"/>
        <v>0</v>
      </c>
      <c r="H31" s="432">
        <f t="shared" si="6"/>
        <v>16</v>
      </c>
      <c r="I31" s="432">
        <f t="shared" si="6"/>
        <v>2480</v>
      </c>
      <c r="J31" s="432">
        <f t="shared" si="6"/>
        <v>0</v>
      </c>
      <c r="K31" s="432">
        <f t="shared" si="6"/>
        <v>0</v>
      </c>
      <c r="L31" s="363">
        <f t="shared" si="1"/>
        <v>7196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4550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2480</v>
      </c>
      <c r="J34" s="366">
        <f t="shared" si="7"/>
        <v>0</v>
      </c>
      <c r="K34" s="366">
        <f t="shared" si="7"/>
        <v>0</v>
      </c>
      <c r="L34" s="430">
        <f t="shared" si="1"/>
        <v>7196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3">
        <f>pdeReportingDate</f>
        <v>44130</v>
      </c>
      <c r="C38" s="483"/>
      <c r="D38" s="483"/>
      <c r="E38" s="483"/>
      <c r="F38" s="483"/>
      <c r="G38" s="483"/>
      <c r="H38" s="48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4" t="str">
        <f>authorName</f>
        <v>Славена Александрова Първанова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2" t="s">
        <v>696</v>
      </c>
      <c r="C43" s="482"/>
      <c r="D43" s="482"/>
      <c r="E43" s="482"/>
      <c r="F43" s="353"/>
      <c r="G43" s="41"/>
      <c r="H43" s="39"/>
      <c r="M43" s="110"/>
    </row>
    <row r="44" spans="1:13" ht="15.75" customHeight="1">
      <c r="A44" s="474"/>
      <c r="B44" s="482" t="s">
        <v>684</v>
      </c>
      <c r="C44" s="482"/>
      <c r="D44" s="482"/>
      <c r="E44" s="482"/>
      <c r="F44" s="353"/>
      <c r="G44" s="41"/>
      <c r="H44" s="39"/>
      <c r="M44" s="110"/>
    </row>
    <row r="45" spans="1:13" ht="15.75">
      <c r="A45" s="474"/>
      <c r="B45" s="481">
        <f>D34+E34+F34+G34+H34-'1-Баланс'!G26</f>
        <v>0</v>
      </c>
      <c r="C45" s="482"/>
      <c r="D45" s="482"/>
      <c r="E45" s="482"/>
      <c r="F45" s="353"/>
      <c r="G45" s="41"/>
      <c r="H45" s="39"/>
      <c r="M45" s="110"/>
    </row>
    <row r="46" spans="1:13" ht="15.75">
      <c r="A46" s="474"/>
      <c r="B46" s="481">
        <f>I34-'1-Баланс'!G34</f>
        <v>0</v>
      </c>
      <c r="C46" s="482"/>
      <c r="D46" s="482"/>
      <c r="E46" s="482"/>
      <c r="F46" s="353"/>
      <c r="G46" s="41"/>
      <c r="H46" s="39"/>
      <c r="M46" s="110"/>
    </row>
    <row r="47" spans="1:13" ht="15.75">
      <c r="A47" s="474"/>
      <c r="B47" s="481">
        <f>L34-'1-Баланс'!G37</f>
        <v>0</v>
      </c>
      <c r="C47" s="482"/>
      <c r="D47" s="482"/>
      <c r="E47" s="482"/>
      <c r="F47" s="353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10" zoomScaleNormal="70" zoomScaleSheetLayoutView="110" workbookViewId="0" topLeftCell="A1">
      <selection activeCell="F17" sqref="F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698</v>
      </c>
      <c r="B12" s="458"/>
      <c r="C12" s="479">
        <v>30486</v>
      </c>
      <c r="D12" s="480">
        <v>50.15</v>
      </c>
      <c r="E12" s="479"/>
      <c r="F12" s="260">
        <f>C12-E12</f>
        <v>30486</v>
      </c>
    </row>
    <row r="13" spans="1:6" ht="15.75">
      <c r="A13" s="457">
        <v>2</v>
      </c>
      <c r="B13" s="458"/>
      <c r="C13" s="479"/>
      <c r="D13" s="480"/>
      <c r="E13" s="479"/>
      <c r="F13" s="260">
        <f aca="true" t="shared" si="0" ref="F13:F26">C13-E13</f>
        <v>0</v>
      </c>
    </row>
    <row r="14" spans="1:6" ht="15.75">
      <c r="A14" s="457">
        <v>3</v>
      </c>
      <c r="B14" s="458"/>
      <c r="C14" s="479"/>
      <c r="D14" s="480"/>
      <c r="E14" s="479"/>
      <c r="F14" s="260">
        <f t="shared" si="0"/>
        <v>0</v>
      </c>
    </row>
    <row r="15" spans="1:6" ht="15.75">
      <c r="A15" s="457">
        <v>4</v>
      </c>
      <c r="B15" s="458"/>
      <c r="C15" s="479"/>
      <c r="D15" s="480"/>
      <c r="E15" s="479"/>
      <c r="F15" s="260">
        <f t="shared" si="0"/>
        <v>0</v>
      </c>
    </row>
    <row r="16" spans="1:6" ht="15.75">
      <c r="A16" s="457">
        <v>5</v>
      </c>
      <c r="B16" s="458"/>
      <c r="C16" s="479"/>
      <c r="D16" s="480"/>
      <c r="E16" s="479"/>
      <c r="F16" s="260">
        <f t="shared" si="0"/>
        <v>0</v>
      </c>
    </row>
    <row r="17" spans="1:6" ht="15.75">
      <c r="A17" s="457">
        <v>6</v>
      </c>
      <c r="B17" s="458"/>
      <c r="C17" s="479"/>
      <c r="D17" s="480"/>
      <c r="E17" s="479"/>
      <c r="F17" s="260" t="e">
        <f>#REF!-E17</f>
        <v>#REF!</v>
      </c>
    </row>
    <row r="18" spans="1:6" ht="15.75">
      <c r="A18" s="457">
        <v>7</v>
      </c>
      <c r="B18" s="458"/>
      <c r="C18" s="479"/>
      <c r="D18" s="480"/>
      <c r="E18" s="479"/>
      <c r="F18" s="260">
        <f t="shared" si="0"/>
        <v>0</v>
      </c>
    </row>
    <row r="19" spans="1:6" ht="15.75">
      <c r="A19" s="457">
        <v>8</v>
      </c>
      <c r="B19" s="458"/>
      <c r="C19" s="479"/>
      <c r="D19" s="480"/>
      <c r="E19" s="479"/>
      <c r="F19" s="260">
        <f t="shared" si="0"/>
        <v>0</v>
      </c>
    </row>
    <row r="20" spans="1:6" ht="15.75">
      <c r="A20" s="457">
        <v>9</v>
      </c>
      <c r="B20" s="458"/>
      <c r="C20" s="479"/>
      <c r="D20" s="480"/>
      <c r="E20" s="479"/>
      <c r="F20" s="260">
        <f t="shared" si="0"/>
        <v>0</v>
      </c>
    </row>
    <row r="21" spans="1:6" ht="15.75">
      <c r="A21" s="457">
        <v>10</v>
      </c>
      <c r="B21" s="458"/>
      <c r="C21" s="79"/>
      <c r="D21" s="480"/>
      <c r="E21" s="479">
        <v>0</v>
      </c>
      <c r="F21" s="260">
        <f>C17-E21</f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 t="e">
        <f>SUM(F12:F26)</f>
        <v>#REF!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697</v>
      </c>
      <c r="B46" s="458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 t="e">
        <f>F78+F61+F44+F27</f>
        <v>#REF!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3">
        <f>pdeReportingDate</f>
        <v>44130</v>
      </c>
      <c r="C151" s="483"/>
      <c r="D151" s="483"/>
      <c r="E151" s="483"/>
      <c r="F151" s="483"/>
      <c r="G151" s="483"/>
      <c r="H151" s="48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4" t="str">
        <f>authorName</f>
        <v>Славена Александрова Първанова</v>
      </c>
      <c r="C153" s="484"/>
      <c r="D153" s="484"/>
      <c r="E153" s="484"/>
      <c r="F153" s="484"/>
      <c r="G153" s="484"/>
      <c r="H153" s="48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2" t="s">
        <v>696</v>
      </c>
      <c r="C156" s="482"/>
      <c r="D156" s="482"/>
      <c r="E156" s="482"/>
      <c r="F156" s="353"/>
      <c r="G156" s="41"/>
      <c r="H156" s="39"/>
    </row>
    <row r="157" spans="1:8" ht="15.75" customHeight="1">
      <c r="A157" s="474"/>
      <c r="B157" s="482" t="s">
        <v>684</v>
      </c>
      <c r="C157" s="482"/>
      <c r="D157" s="482"/>
      <c r="E157" s="482"/>
      <c r="F157" s="353"/>
      <c r="G157" s="41"/>
      <c r="H157" s="39"/>
    </row>
    <row r="158" spans="1:8" ht="15.75">
      <c r="A158" s="474"/>
      <c r="B158" s="481">
        <f>C27-'1-Баланс'!C46+C78</f>
        <v>-2</v>
      </c>
      <c r="C158" s="482"/>
      <c r="D158" s="482"/>
      <c r="E158" s="482"/>
      <c r="F158" s="353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4"/>
      <c r="B160" s="482"/>
      <c r="C160" s="482"/>
      <c r="D160" s="482"/>
      <c r="E160" s="482"/>
      <c r="F160" s="353"/>
      <c r="G160" s="41"/>
      <c r="H160" s="39"/>
    </row>
    <row r="161" spans="1:8" ht="15.75">
      <c r="A161" s="474"/>
      <c r="B161" s="482"/>
      <c r="C161" s="482"/>
      <c r="D161" s="482"/>
      <c r="E161" s="482"/>
      <c r="F161" s="353"/>
      <c r="G161" s="41"/>
      <c r="H161" s="39"/>
    </row>
    <row r="162" spans="1:8" ht="15.75">
      <c r="A162" s="474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57788</v>
      </c>
      <c r="D6" s="453">
        <f aca="true" t="shared" si="0" ref="D6:D15">C6-E6</f>
        <v>0</v>
      </c>
      <c r="E6" s="452">
        <f>'1-Баланс'!G95</f>
        <v>57788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7196</v>
      </c>
      <c r="D7" s="453">
        <f t="shared" si="0"/>
        <v>2646</v>
      </c>
      <c r="E7" s="452">
        <f>'1-Баланс'!G18</f>
        <v>4550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93</v>
      </c>
      <c r="D8" s="453">
        <f t="shared" si="0"/>
        <v>0</v>
      </c>
      <c r="E8" s="452">
        <f>ABS('2-Отчет за доходите'!C44)-ABS('2-Отчет за доходите'!G44)</f>
        <v>93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890</v>
      </c>
      <c r="D9" s="453">
        <f t="shared" si="0"/>
        <v>0</v>
      </c>
      <c r="E9" s="452">
        <f>'3-Отчет за паричния поток'!C45</f>
        <v>890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782</v>
      </c>
      <c r="D10" s="453">
        <f t="shared" si="0"/>
        <v>0</v>
      </c>
      <c r="E10" s="452">
        <f>'3-Отчет за паричния поток'!C46</f>
        <v>782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7196</v>
      </c>
      <c r="D11" s="453">
        <f t="shared" si="0"/>
        <v>0</v>
      </c>
      <c r="E11" s="452">
        <f>'4-Отчет за собствения капитал'!L34</f>
        <v>7196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30486</v>
      </c>
      <c r="D12" s="453">
        <f t="shared" si="0"/>
        <v>0</v>
      </c>
      <c r="E12" s="452">
        <f>'Справка 5'!C27+'Справка 5'!C97</f>
        <v>30486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2</v>
      </c>
      <c r="D14" s="453">
        <f t="shared" si="0"/>
        <v>0</v>
      </c>
      <c r="E14" s="452">
        <f>'Справка 5'!C61+'Справка 5'!C131</f>
        <v>2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0.011465910491924547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0.01292384658143413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0.001838235294117647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0.0016093306568837821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1.0107763615295482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0.5302752293577981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0.4958362738179252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0.03843801458480357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0.03679134321336156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0.7318415591446359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0.14035785976327264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0.8030273998850355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7.030572540300167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0.8754758773447775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1747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0.24277376320177876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0.2865187909435697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20.29362214199759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512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469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8650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66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22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931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10654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24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27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51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30488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30488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5032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5032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265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27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46517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373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378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9369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336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14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9722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35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35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35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201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581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782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354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11271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57788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4550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4550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4550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2387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2387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93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2480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7196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4932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9425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14000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980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29337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29337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1350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7216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11161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2529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7767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371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20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216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85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173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429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20156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1099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21255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57788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474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3149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746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2086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374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60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60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33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6949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1654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4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23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1681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8630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71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8630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93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93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93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8723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7858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253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8111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590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590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8701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22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8723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8723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10119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-4738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-2383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-1271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-3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1727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-140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-717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-35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-892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14101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-13747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-418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-879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-943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-108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890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782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782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4550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4550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4550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4550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2387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2387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93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2480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2480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7103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7103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93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7196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7196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 t="e">
        <f>'Справка 5'!F27</f>
        <v>#REF!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 t="e">
        <f>'Справка 5'!F79</f>
        <v>#REF!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2018-04-29T13:20:11Z</cp:lastPrinted>
  <dcterms:created xsi:type="dcterms:W3CDTF">2006-09-16T00:00:00Z</dcterms:created>
  <dcterms:modified xsi:type="dcterms:W3CDTF">2020-10-19T13:46:08Z</dcterms:modified>
  <cp:category/>
  <cp:version/>
  <cp:contentType/>
  <cp:contentStatus/>
</cp:coreProperties>
</file>